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 codeName="{320AAD7A-AEEB-3B57-35EE-6C7AAB037B02}"/>
  <workbookPr date1904="1"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ocuments\SDSMT\courses\NANO_708\lectures\10_BulkHeterojun\"/>
    </mc:Choice>
  </mc:AlternateContent>
  <xr:revisionPtr revIDLastSave="0" documentId="13_ncr:1_{D05C8C8C-D540-43AF-BC23-FBECE7CA1FC7}" xr6:coauthVersionLast="28" xr6:coauthVersionMax="28" xr10:uidLastSave="{00000000-0000-0000-0000-000000000000}"/>
  <bookViews>
    <workbookView xWindow="225" yWindow="120" windowWidth="21315" windowHeight="10155" tabRatio="500" activeTab="1" xr2:uid="{00000000-000D-0000-FFFF-FFFF00000000}"/>
  </bookViews>
  <sheets>
    <sheet name="title" sheetId="6" r:id="rId1"/>
    <sheet name="main" sheetId="1" r:id="rId2"/>
    <sheet name="calc" sheetId="3" r:id="rId3"/>
    <sheet name="data" sheetId="5" r:id="rId4"/>
    <sheet name="const" sheetId="2" r:id="rId5"/>
  </sheets>
  <functionGroups builtInGroupCount="19"/>
  <calcPr calcId="171027" concurrentCalc="0"/>
</workbook>
</file>

<file path=xl/calcChain.xml><?xml version="1.0" encoding="utf-8"?>
<calcChain xmlns="http://schemas.openxmlformats.org/spreadsheetml/2006/main">
  <c r="B3" i="1" l="1"/>
  <c r="C14" i="3"/>
  <c r="C7" i="3"/>
  <c r="C33" i="3"/>
  <c r="F7" i="3"/>
  <c r="F33" i="3"/>
  <c r="C17" i="3"/>
  <c r="C23" i="3"/>
  <c r="B108" i="5"/>
  <c r="E32" i="1"/>
  <c r="B32" i="1"/>
  <c r="B33" i="1"/>
  <c r="E26" i="1"/>
  <c r="E33" i="1"/>
  <c r="B27" i="1"/>
  <c r="B26" i="1"/>
  <c r="F45" i="3"/>
  <c r="C45" i="3"/>
  <c r="C20" i="2"/>
  <c r="C21" i="2"/>
  <c r="C19" i="2"/>
  <c r="F16" i="2"/>
  <c r="F7" i="2"/>
  <c r="I7" i="2"/>
  <c r="F6" i="2"/>
  <c r="F3" i="2"/>
  <c r="C23" i="2"/>
  <c r="C22" i="2"/>
  <c r="F22" i="2"/>
  <c r="C1" i="3"/>
  <c r="C15" i="3"/>
  <c r="C19" i="3"/>
  <c r="C2" i="3"/>
  <c r="C10" i="3"/>
  <c r="C11" i="3"/>
  <c r="F4" i="3"/>
  <c r="C5" i="3"/>
  <c r="F5" i="3"/>
  <c r="C4" i="3"/>
  <c r="E31" i="1"/>
  <c r="E34" i="1"/>
  <c r="B31" i="1"/>
  <c r="B34" i="1"/>
  <c r="F8" i="3"/>
  <c r="B41" i="1"/>
  <c r="C8" i="3"/>
  <c r="B40" i="1"/>
  <c r="C12" i="3"/>
  <c r="C25" i="3"/>
  <c r="C24" i="3"/>
  <c r="B36" i="1"/>
  <c r="C18" i="3"/>
  <c r="C13" i="3"/>
  <c r="B43" i="1"/>
  <c r="B42" i="1"/>
  <c r="C27" i="3"/>
  <c r="B37" i="1"/>
  <c r="C17" i="5"/>
  <c r="C18" i="5"/>
  <c r="C28" i="3"/>
  <c r="F31" i="3"/>
  <c r="F42" i="3"/>
  <c r="F19" i="3"/>
  <c r="F20" i="3"/>
  <c r="F21" i="3"/>
  <c r="C30" i="3"/>
  <c r="F30" i="3"/>
  <c r="F36" i="3"/>
  <c r="C20" i="3"/>
  <c r="C21" i="3"/>
  <c r="C41" i="3"/>
  <c r="F32" i="3"/>
  <c r="F34" i="3"/>
  <c r="F41" i="3"/>
  <c r="C31" i="3"/>
  <c r="C36" i="3"/>
  <c r="C32" i="3"/>
  <c r="C34" i="3"/>
  <c r="C42" i="3"/>
  <c r="B38" i="1"/>
  <c r="F37" i="3"/>
  <c r="E17" i="1"/>
  <c r="B17" i="1"/>
  <c r="D18" i="5"/>
  <c r="D17" i="5"/>
  <c r="E18" i="1"/>
  <c r="B18" i="1"/>
  <c r="E18" i="5"/>
  <c r="E17" i="5"/>
  <c r="C37" i="3"/>
  <c r="C39" i="3"/>
  <c r="F43" i="3"/>
  <c r="C43" i="3"/>
  <c r="C46" i="3"/>
  <c r="C50" i="3"/>
  <c r="B21" i="1"/>
  <c r="E21" i="1"/>
  <c r="F46" i="3"/>
  <c r="K75" i="5"/>
  <c r="K43" i="5"/>
  <c r="K39" i="5"/>
  <c r="K100" i="5"/>
  <c r="K103" i="5"/>
  <c r="K59" i="5"/>
  <c r="K64" i="5"/>
  <c r="K60" i="5"/>
  <c r="K98" i="5"/>
  <c r="K40" i="5"/>
  <c r="K95" i="5"/>
  <c r="K102" i="5"/>
  <c r="K94" i="5"/>
  <c r="K66" i="5"/>
  <c r="K11" i="5"/>
  <c r="K71" i="5"/>
  <c r="K99" i="5"/>
  <c r="K82" i="5"/>
  <c r="K48" i="5"/>
  <c r="K77" i="5"/>
  <c r="K37" i="5"/>
  <c r="K88" i="5"/>
  <c r="K36" i="5"/>
  <c r="K18" i="5"/>
  <c r="K30" i="5"/>
  <c r="K20" i="5"/>
  <c r="K3" i="5"/>
  <c r="K49" i="5"/>
  <c r="K23" i="5"/>
  <c r="K34" i="5"/>
  <c r="K92" i="5"/>
  <c r="K50" i="5"/>
  <c r="K2" i="5"/>
  <c r="K108" i="5"/>
  <c r="K53" i="5"/>
  <c r="K61" i="5"/>
  <c r="K104" i="5"/>
  <c r="K42" i="5"/>
  <c r="K62" i="5"/>
  <c r="K101" i="5"/>
  <c r="K106" i="5"/>
  <c r="K44" i="5"/>
  <c r="K26" i="5"/>
  <c r="K67" i="5"/>
  <c r="K76" i="5"/>
  <c r="K105" i="5"/>
  <c r="K22" i="5"/>
  <c r="K58" i="5"/>
  <c r="K12" i="5"/>
  <c r="K87" i="5"/>
  <c r="K32" i="5"/>
  <c r="K73" i="5"/>
  <c r="K9" i="5"/>
  <c r="K72" i="5"/>
  <c r="K19" i="5"/>
  <c r="K90" i="5"/>
  <c r="K55" i="5"/>
  <c r="K74" i="5"/>
  <c r="K29" i="5"/>
  <c r="K93" i="5"/>
  <c r="K47" i="5"/>
  <c r="K63" i="5"/>
  <c r="K45" i="5"/>
  <c r="K31" i="5"/>
  <c r="K96" i="5"/>
  <c r="K89" i="5"/>
  <c r="K24" i="5"/>
  <c r="K52" i="5"/>
  <c r="K65" i="5"/>
  <c r="K81" i="5"/>
  <c r="K97" i="5"/>
  <c r="K54" i="5"/>
  <c r="K41" i="5"/>
  <c r="K38" i="5"/>
  <c r="K17" i="5"/>
  <c r="K14" i="5"/>
  <c r="K84" i="5"/>
  <c r="K15" i="5"/>
  <c r="K35" i="5"/>
  <c r="K6" i="5"/>
  <c r="K83" i="5"/>
  <c r="K69" i="5"/>
  <c r="K91" i="5"/>
  <c r="K16" i="5"/>
  <c r="K70" i="5"/>
  <c r="K21" i="5"/>
  <c r="K46" i="5"/>
  <c r="K7" i="5"/>
  <c r="K80" i="5"/>
  <c r="K57" i="5"/>
  <c r="K33" i="5"/>
  <c r="K25" i="5"/>
  <c r="K51" i="5"/>
  <c r="K68" i="5"/>
  <c r="K4" i="5"/>
  <c r="K8" i="5"/>
  <c r="K79" i="5"/>
  <c r="K28" i="5"/>
  <c r="K86" i="5"/>
  <c r="K107" i="5"/>
  <c r="K56" i="5"/>
  <c r="K5" i="5"/>
  <c r="K27" i="5"/>
  <c r="K78" i="5"/>
  <c r="K13" i="5"/>
  <c r="K85" i="5"/>
  <c r="K10" i="5"/>
  <c r="C3" i="5"/>
  <c r="E3" i="5"/>
  <c r="C8" i="5"/>
  <c r="E8" i="5"/>
  <c r="C7" i="5"/>
  <c r="E7" i="5"/>
  <c r="C12" i="5"/>
  <c r="E12" i="5"/>
  <c r="C4" i="5"/>
  <c r="E4" i="5"/>
  <c r="C11" i="5"/>
  <c r="E11" i="5"/>
  <c r="F50" i="3"/>
  <c r="C48" i="3"/>
  <c r="B24" i="1"/>
  <c r="D10" i="5"/>
  <c r="E10" i="5"/>
  <c r="D6" i="5"/>
  <c r="E6" i="5"/>
  <c r="D9" i="5"/>
  <c r="E9" i="5"/>
  <c r="D5" i="5"/>
  <c r="E5" i="5"/>
  <c r="M59" i="5"/>
  <c r="N35" i="5"/>
  <c r="M66" i="5"/>
  <c r="L27" i="5"/>
  <c r="M48" i="5"/>
  <c r="M99" i="5"/>
  <c r="L77" i="5"/>
  <c r="L71" i="5"/>
  <c r="L82" i="5"/>
  <c r="L41" i="5"/>
  <c r="L108" i="5"/>
  <c r="M23" i="5"/>
  <c r="N93" i="5"/>
  <c r="M3" i="5"/>
  <c r="M52" i="5"/>
  <c r="L2" i="5"/>
  <c r="M61" i="5"/>
  <c r="N15" i="5"/>
  <c r="M97" i="5"/>
  <c r="L67" i="5"/>
  <c r="N76" i="5"/>
  <c r="L93" i="5"/>
  <c r="L104" i="5"/>
  <c r="N14" i="5"/>
  <c r="N33" i="5"/>
  <c r="L25" i="5"/>
  <c r="L49" i="5"/>
  <c r="N64" i="5"/>
  <c r="L105" i="5"/>
  <c r="L99" i="5"/>
  <c r="L21" i="5"/>
  <c r="M62" i="5"/>
  <c r="L16" i="5"/>
  <c r="N59" i="5"/>
  <c r="L63" i="5"/>
  <c r="M11" i="5"/>
  <c r="M71" i="5"/>
  <c r="N3" i="5"/>
  <c r="L20" i="5"/>
  <c r="N7" i="5"/>
  <c r="L11" i="5"/>
  <c r="N46" i="5"/>
  <c r="N49" i="5"/>
  <c r="N106" i="5"/>
  <c r="M94" i="5"/>
  <c r="M53" i="5"/>
  <c r="L34" i="5"/>
  <c r="M18" i="5"/>
  <c r="N55" i="5"/>
  <c r="M37" i="5"/>
  <c r="M74" i="5"/>
  <c r="N90" i="5"/>
  <c r="L53" i="5"/>
  <c r="M25" i="5"/>
  <c r="L15" i="5"/>
  <c r="N69" i="5"/>
  <c r="N95" i="5"/>
  <c r="N9" i="5"/>
  <c r="M17" i="5"/>
  <c r="L48" i="5"/>
  <c r="L62" i="5"/>
  <c r="N24" i="5"/>
  <c r="L80" i="5"/>
  <c r="M63" i="5"/>
  <c r="M56" i="5"/>
  <c r="N75" i="5"/>
  <c r="N52" i="5"/>
  <c r="L13" i="5"/>
  <c r="N89" i="5"/>
  <c r="L101" i="5"/>
  <c r="M46" i="5"/>
  <c r="M81" i="5"/>
  <c r="N31" i="5"/>
  <c r="L64" i="5"/>
  <c r="M14" i="5"/>
  <c r="L40" i="5"/>
  <c r="L44" i="5"/>
  <c r="N105" i="5"/>
  <c r="M64" i="5"/>
  <c r="M35" i="5"/>
  <c r="M57" i="5"/>
  <c r="N100" i="5"/>
  <c r="L46" i="5"/>
  <c r="N34" i="5"/>
  <c r="N70" i="5"/>
  <c r="N8" i="5"/>
  <c r="M27" i="5"/>
  <c r="M47" i="5"/>
  <c r="M65" i="5"/>
  <c r="N107" i="5"/>
  <c r="M73" i="5"/>
  <c r="L69" i="5"/>
  <c r="N67" i="5"/>
  <c r="N22" i="5"/>
  <c r="M7" i="5"/>
  <c r="N68" i="5"/>
  <c r="M54" i="5"/>
  <c r="M87" i="5"/>
  <c r="L36" i="5"/>
  <c r="L8" i="5"/>
  <c r="N61" i="5"/>
  <c r="L95" i="5"/>
  <c r="N18" i="5"/>
  <c r="N102" i="5"/>
  <c r="M76" i="5"/>
  <c r="L31" i="5"/>
  <c r="L70" i="5"/>
  <c r="N74" i="5"/>
  <c r="N101" i="5"/>
  <c r="L85" i="5"/>
  <c r="L81" i="5"/>
  <c r="M90" i="5"/>
  <c r="N65" i="5"/>
  <c r="M96" i="5"/>
  <c r="M31" i="5"/>
  <c r="N17" i="5"/>
  <c r="L76" i="5"/>
  <c r="N92" i="5"/>
  <c r="N43" i="5"/>
  <c r="M86" i="5"/>
  <c r="M69" i="5"/>
  <c r="L56" i="5"/>
  <c r="M22" i="5"/>
  <c r="L37" i="5"/>
  <c r="N94" i="5"/>
  <c r="M12" i="5"/>
  <c r="M36" i="5"/>
  <c r="N38" i="5"/>
  <c r="L7" i="5"/>
  <c r="N32" i="5"/>
  <c r="N13" i="5"/>
  <c r="M30" i="5"/>
  <c r="N63" i="5"/>
  <c r="M80" i="5"/>
  <c r="N48" i="5"/>
  <c r="L17" i="5"/>
  <c r="L39" i="5"/>
  <c r="M105" i="5"/>
  <c r="L72" i="5"/>
  <c r="L91" i="5"/>
  <c r="M33" i="5"/>
  <c r="M45" i="5"/>
  <c r="L14" i="5"/>
  <c r="L23" i="5"/>
  <c r="N2" i="5"/>
  <c r="N71" i="5"/>
  <c r="M88" i="5"/>
  <c r="L97" i="5"/>
  <c r="L28" i="5"/>
  <c r="L19" i="5"/>
  <c r="M91" i="5"/>
  <c r="M24" i="5"/>
  <c r="L90" i="5"/>
  <c r="N16" i="5"/>
  <c r="L96" i="5"/>
  <c r="N80" i="5"/>
  <c r="L32" i="5"/>
  <c r="N79" i="5"/>
  <c r="N53" i="5"/>
  <c r="L60" i="5"/>
  <c r="N99" i="5"/>
  <c r="N103" i="5"/>
  <c r="L88" i="5"/>
  <c r="N56" i="5"/>
  <c r="M40" i="5"/>
  <c r="M98" i="5"/>
  <c r="N62" i="5"/>
  <c r="N6" i="5"/>
  <c r="M34" i="5"/>
  <c r="L12" i="5"/>
  <c r="L79" i="5"/>
  <c r="M103" i="5"/>
  <c r="N40" i="5"/>
  <c r="N108" i="5"/>
  <c r="M10" i="5"/>
  <c r="L24" i="5"/>
  <c r="M21" i="5"/>
  <c r="N11" i="5"/>
  <c r="L94" i="5"/>
  <c r="M106" i="5"/>
  <c r="M6" i="5"/>
  <c r="L100" i="5"/>
  <c r="N27" i="5"/>
  <c r="M104" i="5"/>
  <c r="M72" i="5"/>
  <c r="M19" i="5"/>
  <c r="M2" i="5"/>
  <c r="M93" i="5"/>
  <c r="L87" i="5"/>
  <c r="M68" i="5"/>
  <c r="N50" i="5"/>
  <c r="N29" i="5"/>
  <c r="L103" i="5"/>
  <c r="L42" i="5"/>
  <c r="N97" i="5"/>
  <c r="L65" i="5"/>
  <c r="M77" i="5"/>
  <c r="M79" i="5"/>
  <c r="L3" i="5"/>
  <c r="M13" i="5"/>
  <c r="M29" i="5"/>
  <c r="N88" i="5"/>
  <c r="M85" i="5"/>
  <c r="L86" i="5"/>
  <c r="M16" i="5"/>
  <c r="M75" i="5"/>
  <c r="M55" i="5"/>
  <c r="L38" i="5"/>
  <c r="N10" i="5"/>
  <c r="N81" i="5"/>
  <c r="M42" i="5"/>
  <c r="L35" i="5"/>
  <c r="M67" i="5"/>
  <c r="N47" i="5"/>
  <c r="M70" i="5"/>
  <c r="M43" i="5"/>
  <c r="M44" i="5"/>
  <c r="M95" i="5"/>
  <c r="N54" i="5"/>
  <c r="N72" i="5"/>
  <c r="L106" i="5"/>
  <c r="N77" i="5"/>
  <c r="M49" i="5"/>
  <c r="N20" i="5"/>
  <c r="N98" i="5"/>
  <c r="M107" i="5"/>
  <c r="N57" i="5"/>
  <c r="N12" i="5"/>
  <c r="N39" i="5"/>
  <c r="N96" i="5"/>
  <c r="L50" i="5"/>
  <c r="M41" i="5"/>
  <c r="M102" i="5"/>
  <c r="L68" i="5"/>
  <c r="N86" i="5"/>
  <c r="L84" i="5"/>
  <c r="L59" i="5"/>
  <c r="N91" i="5"/>
  <c r="N21" i="5"/>
  <c r="L107" i="5"/>
  <c r="M108" i="5"/>
  <c r="N5" i="5"/>
  <c r="L26" i="5"/>
  <c r="N45" i="5"/>
  <c r="L58" i="5"/>
  <c r="L52" i="5"/>
  <c r="L47" i="5"/>
  <c r="L74" i="5"/>
  <c r="N78" i="5"/>
  <c r="N37" i="5"/>
  <c r="N30" i="5"/>
  <c r="L92" i="5"/>
  <c r="L4" i="5"/>
  <c r="M58" i="5"/>
  <c r="L57" i="5"/>
  <c r="L43" i="5"/>
  <c r="M5" i="5"/>
  <c r="M60" i="5"/>
  <c r="M78" i="5"/>
  <c r="N87" i="5"/>
  <c r="L78" i="5"/>
  <c r="M39" i="5"/>
  <c r="L10" i="5"/>
  <c r="N73" i="5"/>
  <c r="M20" i="5"/>
  <c r="M101" i="5"/>
  <c r="L83" i="5"/>
  <c r="N58" i="5"/>
  <c r="M8" i="5"/>
  <c r="M51" i="5"/>
  <c r="L55" i="5"/>
  <c r="N19" i="5"/>
  <c r="L6" i="5"/>
  <c r="L54" i="5"/>
  <c r="M82" i="5"/>
  <c r="N23" i="5"/>
  <c r="N25" i="5"/>
  <c r="N84" i="5"/>
  <c r="N4" i="5"/>
  <c r="N36" i="5"/>
  <c r="L18" i="5"/>
  <c r="N44" i="5"/>
  <c r="M83" i="5"/>
  <c r="M9" i="5"/>
  <c r="L89" i="5"/>
  <c r="M15" i="5"/>
  <c r="M100" i="5"/>
  <c r="L45" i="5"/>
  <c r="N60" i="5"/>
  <c r="L9" i="5"/>
  <c r="N42" i="5"/>
  <c r="M32" i="5"/>
  <c r="N104" i="5"/>
  <c r="M4" i="5"/>
  <c r="N51" i="5"/>
  <c r="L5" i="5"/>
  <c r="L30" i="5"/>
  <c r="L75" i="5"/>
  <c r="N82" i="5"/>
  <c r="N83" i="5"/>
  <c r="M26" i="5"/>
  <c r="N41" i="5"/>
  <c r="N26" i="5"/>
  <c r="L61" i="5"/>
  <c r="L33" i="5"/>
  <c r="L73" i="5"/>
  <c r="M38" i="5"/>
  <c r="M50" i="5"/>
  <c r="M84" i="5"/>
  <c r="L51" i="5"/>
  <c r="M92" i="5"/>
  <c r="N66" i="5"/>
  <c r="L66" i="5"/>
  <c r="L22" i="5"/>
  <c r="M89" i="5"/>
  <c r="L98" i="5"/>
  <c r="L102" i="5"/>
  <c r="N28" i="5"/>
  <c r="M28" i="5"/>
  <c r="L29" i="5"/>
  <c r="N85" i="5"/>
</calcChain>
</file>

<file path=xl/sharedStrings.xml><?xml version="1.0" encoding="utf-8"?>
<sst xmlns="http://schemas.openxmlformats.org/spreadsheetml/2006/main" count="234" uniqueCount="139">
  <si>
    <t>Nc</t>
  </si>
  <si>
    <t>Nv</t>
  </si>
  <si>
    <t>Nd</t>
  </si>
  <si>
    <t>N0</t>
  </si>
  <si>
    <t>Material 1</t>
  </si>
  <si>
    <t>Eg1</t>
  </si>
  <si>
    <t>Eg2</t>
  </si>
  <si>
    <t>eV</t>
  </si>
  <si>
    <t>cm^-3</t>
  </si>
  <si>
    <t>dEi</t>
  </si>
  <si>
    <t>Nh</t>
  </si>
  <si>
    <t>Ni</t>
  </si>
  <si>
    <t>Na</t>
  </si>
  <si>
    <t>p1</t>
  </si>
  <si>
    <t>n1</t>
  </si>
  <si>
    <t>p2</t>
  </si>
  <si>
    <t>n2</t>
  </si>
  <si>
    <t>r</t>
  </si>
  <si>
    <t>dV</t>
  </si>
  <si>
    <t>V</t>
  </si>
  <si>
    <t>kT</t>
  </si>
  <si>
    <t>Input:</t>
  </si>
  <si>
    <t>denom</t>
  </si>
  <si>
    <t>term1</t>
  </si>
  <si>
    <t>term2</t>
  </si>
  <si>
    <t>Output:</t>
  </si>
  <si>
    <t>w1,w2</t>
  </si>
  <si>
    <t>nm</t>
  </si>
  <si>
    <t>Material 2</t>
  </si>
  <si>
    <t>Nd-Na</t>
  </si>
  <si>
    <t>numer+</t>
  </si>
  <si>
    <t>numer-</t>
  </si>
  <si>
    <t>x+</t>
  </si>
  <si>
    <t>x-</t>
  </si>
  <si>
    <t>x</t>
  </si>
  <si>
    <r>
      <rPr>
        <sz val="10"/>
        <rFont val="Symbol"/>
        <family val="1"/>
        <charset val="2"/>
      </rPr>
      <t>D</t>
    </r>
    <r>
      <rPr>
        <sz val="10"/>
        <rFont val="Verdana"/>
        <family val="2"/>
      </rPr>
      <t>X</t>
    </r>
  </si>
  <si>
    <t>D</t>
  </si>
  <si>
    <t>Fundamental Constants:</t>
  </si>
  <si>
    <t>Description</t>
  </si>
  <si>
    <t>Planck constant</t>
  </si>
  <si>
    <t>h (J.s)</t>
  </si>
  <si>
    <t>h (eV.s)</t>
  </si>
  <si>
    <t>speed of light</t>
  </si>
  <si>
    <t>c (m/s)</t>
  </si>
  <si>
    <t>fundamental electric charge</t>
  </si>
  <si>
    <t>e (C)</t>
  </si>
  <si>
    <t>Boltzmann constant</t>
  </si>
  <si>
    <t>k_B (J/K)</t>
  </si>
  <si>
    <t>k_B (eV/K)</t>
  </si>
  <si>
    <t>electron mass</t>
  </si>
  <si>
    <t>m_e (kg)</t>
  </si>
  <si>
    <t>m_e·c^2 (J)</t>
  </si>
  <si>
    <t>m_e·c^2 (eV)</t>
  </si>
  <si>
    <t>Avagodro number</t>
  </si>
  <si>
    <t>N_A (1/mole)</t>
  </si>
  <si>
    <t>permitivitty of free space</t>
  </si>
  <si>
    <t>eps0 (F/m)</t>
  </si>
  <si>
    <t>Derived Constants:</t>
  </si>
  <si>
    <t>room temp. thermal energy</t>
  </si>
  <si>
    <r>
      <t>k_B</t>
    </r>
    <r>
      <rPr>
        <sz val="10"/>
        <rFont val="Calibri"/>
        <family val="2"/>
      </rPr>
      <t>·</t>
    </r>
    <r>
      <rPr>
        <sz val="10"/>
        <rFont val="Verdana"/>
        <family val="2"/>
      </rPr>
      <t>(300K) (eV)</t>
    </r>
  </si>
  <si>
    <t>Planck constant x speed of light</t>
  </si>
  <si>
    <r>
      <t>h</t>
    </r>
    <r>
      <rPr>
        <sz val="10"/>
        <rFont val="Calibri"/>
        <family val="2"/>
      </rPr>
      <t>·</t>
    </r>
    <r>
      <rPr>
        <sz val="10"/>
        <rFont val="Verdana"/>
        <family val="2"/>
      </rPr>
      <t>c (eV·nm)</t>
    </r>
  </si>
  <si>
    <r>
      <t>h</t>
    </r>
    <r>
      <rPr>
        <sz val="10"/>
        <rFont val="Calibri"/>
        <family val="2"/>
      </rPr>
      <t>·</t>
    </r>
    <r>
      <rPr>
        <sz val="10"/>
        <rFont val="Verdana"/>
        <family val="2"/>
      </rPr>
      <t>c (KeV·nm)</t>
    </r>
  </si>
  <si>
    <t>universal gas constant</t>
  </si>
  <si>
    <t>R (J/mol/K)</t>
  </si>
  <si>
    <t>Faraday Constant</t>
  </si>
  <si>
    <t>F (C/mol)</t>
  </si>
  <si>
    <t>Stefan Constant</t>
  </si>
  <si>
    <r>
      <rPr>
        <sz val="10"/>
        <rFont val="Symbol"/>
        <family val="1"/>
        <charset val="2"/>
      </rPr>
      <t>s</t>
    </r>
    <r>
      <rPr>
        <vertAlign val="subscript"/>
        <sz val="10"/>
        <rFont val="Verdana"/>
        <family val="2"/>
      </rPr>
      <t>s</t>
    </r>
    <r>
      <rPr>
        <sz val="10"/>
        <rFont val="Verdana"/>
        <family val="2"/>
      </rPr>
      <t xml:space="preserve"> (W.m^2/K)</t>
    </r>
  </si>
  <si>
    <t>h_bar</t>
  </si>
  <si>
    <t>Bohr Radius</t>
  </si>
  <si>
    <t>a0 (m)</t>
  </si>
  <si>
    <t>Rydberg</t>
  </si>
  <si>
    <t>Reference effective DOS</t>
  </si>
  <si>
    <t>N0 (cm^-3)</t>
  </si>
  <si>
    <r>
      <rPr>
        <sz val="10"/>
        <rFont val="Symbol"/>
        <family val="1"/>
        <charset val="2"/>
      </rPr>
      <t>D</t>
    </r>
    <r>
      <rPr>
        <sz val="10"/>
        <rFont val="Verdana"/>
        <family val="2"/>
      </rPr>
      <t>V</t>
    </r>
  </si>
  <si>
    <t>eps1/eps0</t>
  </si>
  <si>
    <t>eps2/eps0</t>
  </si>
  <si>
    <t>mc1/m0</t>
  </si>
  <si>
    <t>mv1/m0</t>
  </si>
  <si>
    <t>mc2/m0</t>
  </si>
  <si>
    <t>mv2/m0</t>
  </si>
  <si>
    <r>
      <rPr>
        <sz val="10"/>
        <rFont val="Symbol"/>
        <family val="1"/>
        <charset val="2"/>
      </rPr>
      <t>D</t>
    </r>
    <r>
      <rPr>
        <sz val="10"/>
        <rFont val="Verdana"/>
        <family val="2"/>
      </rPr>
      <t>V1</t>
    </r>
  </si>
  <si>
    <t>w1</t>
  </si>
  <si>
    <t>w2</t>
  </si>
  <si>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>EC</t>
    </r>
  </si>
  <si>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>EV</t>
    </r>
  </si>
  <si>
    <t>Ei-EV</t>
  </si>
  <si>
    <t>Na+n1-p1</t>
  </si>
  <si>
    <t>Nd-n2+p2</t>
  </si>
  <si>
    <t>rho</t>
  </si>
  <si>
    <t>xf</t>
  </si>
  <si>
    <t>V_x</t>
  </si>
  <si>
    <t>EC_x</t>
  </si>
  <si>
    <t>Eref</t>
  </si>
  <si>
    <t>Ec1</t>
  </si>
  <si>
    <t>Ec2</t>
  </si>
  <si>
    <t>Ev1</t>
  </si>
  <si>
    <t>Ev2</t>
  </si>
  <si>
    <t>Ei1</t>
  </si>
  <si>
    <t>Ei2</t>
  </si>
  <si>
    <t>EV_x</t>
  </si>
  <si>
    <t>Ei_x</t>
  </si>
  <si>
    <r>
      <rPr>
        <sz val="10"/>
        <rFont val="Symbol"/>
        <family val="1"/>
        <charset val="2"/>
      </rPr>
      <t>D</t>
    </r>
    <r>
      <rPr>
        <sz val="10"/>
        <rFont val="Verdana"/>
        <family val="2"/>
      </rPr>
      <t>V2</t>
    </r>
  </si>
  <si>
    <t>&lt;Ei&gt;</t>
  </si>
  <si>
    <t>//thermal energy</t>
  </si>
  <si>
    <t>//electron affinity diff</t>
  </si>
  <si>
    <t>ni1</t>
  </si>
  <si>
    <t>ni2</t>
  </si>
  <si>
    <t>u</t>
  </si>
  <si>
    <t>w</t>
  </si>
  <si>
    <t>v</t>
  </si>
  <si>
    <t>result:</t>
  </si>
  <si>
    <t>one method:</t>
  </si>
  <si>
    <t>N1</t>
  </si>
  <si>
    <t>N2</t>
  </si>
  <si>
    <t>n1-p1</t>
  </si>
  <si>
    <t>p2-n2</t>
  </si>
  <si>
    <t>N</t>
  </si>
  <si>
    <t>netN1</t>
  </si>
  <si>
    <t>netN2</t>
  </si>
  <si>
    <t>metric1</t>
  </si>
  <si>
    <t>metric2</t>
  </si>
  <si>
    <t>Emax1 (V/cm)</t>
  </si>
  <si>
    <t>Emax2 (V/cm)</t>
  </si>
  <si>
    <t>Flatband Solar Cell Calc</t>
  </si>
  <si>
    <t>Written by Phil Ahrenkiel, 2015</t>
  </si>
  <si>
    <t>Computes band profiles, etc. for nanoscaled heterostructure</t>
  </si>
  <si>
    <t>//thicknesses (same for both regions)</t>
  </si>
  <si>
    <t>charge densities:</t>
  </si>
  <si>
    <t>free carrer densities:</t>
  </si>
  <si>
    <t>potential difference:</t>
  </si>
  <si>
    <t>//CB edge of region 2</t>
  </si>
  <si>
    <t>Va</t>
  </si>
  <si>
    <t>z</t>
  </si>
  <si>
    <t>y</t>
  </si>
  <si>
    <t>EFn</t>
  </si>
  <si>
    <t>EFp</t>
  </si>
  <si>
    <t>//applied bias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</si>
</sst>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00E+00"/>
    <numFmt numFmtId="165" formatCode="0.0000"/>
    <numFmt numFmtId="166" formatCode="0.000"/>
    <numFmt numFmtId="167" formatCode="0.00000"/>
    <numFmt numFmtId="168" formatCode="0.000000"/>
    <numFmt numFmtId="169" formatCode="0.0000000000000000000"/>
  </numFmts>
  <fonts count="12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u/>
      <sz val="10"/>
      <name val="Verdana"/>
      <family val="2"/>
    </font>
    <font>
      <sz val="10"/>
      <name val="Verdana"/>
      <family val="2"/>
    </font>
    <font>
      <sz val="10"/>
      <name val="Symbol"/>
      <family val="1"/>
      <charset val="2"/>
    </font>
    <font>
      <i/>
      <sz val="10"/>
      <name val="Verdana"/>
      <family val="2"/>
    </font>
    <font>
      <sz val="10"/>
      <color rgb="FF000000"/>
      <name val="Verdana"/>
      <family val="2"/>
    </font>
    <font>
      <sz val="10"/>
      <name val="Calibri"/>
      <family val="2"/>
    </font>
    <font>
      <vertAlign val="subscript"/>
      <sz val="10"/>
      <name val="Verdana"/>
      <family val="2"/>
    </font>
    <font>
      <sz val="10"/>
      <name val="Arial"/>
      <family val="2"/>
    </font>
    <font>
      <sz val="24"/>
      <color indexed="10"/>
      <name val="Geneva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50"/>
      </patternFill>
    </fill>
    <fill>
      <patternFill patternType="solid">
        <fgColor rgb="FFFFFF00"/>
        <bgColor indexed="13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1" fontId="1" fillId="2" borderId="0"/>
  </cellStyleXfs>
  <cellXfs count="82">
    <xf numFmtId="0" fontId="0" fillId="0" borderId="0" xfId="0"/>
    <xf numFmtId="11" fontId="0" fillId="0" borderId="0" xfId="0" applyNumberFormat="1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3" fillId="0" borderId="4" xfId="0" applyFont="1" applyBorder="1"/>
    <xf numFmtId="0" fontId="3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2" fontId="0" fillId="0" borderId="0" xfId="0" applyNumberFormat="1"/>
    <xf numFmtId="166" fontId="0" fillId="0" borderId="0" xfId="0" applyNumberFormat="1"/>
    <xf numFmtId="11" fontId="1" fillId="3" borderId="0" xfId="1" applyFill="1"/>
    <xf numFmtId="11" fontId="0" fillId="3" borderId="0" xfId="0" applyNumberFormat="1" applyFill="1"/>
    <xf numFmtId="11" fontId="1" fillId="0" borderId="0" xfId="1" applyFill="1"/>
    <xf numFmtId="11" fontId="0" fillId="0" borderId="0" xfId="0" applyNumberFormat="1" applyFill="1"/>
    <xf numFmtId="0" fontId="0" fillId="0" borderId="0" xfId="0" applyFill="1"/>
    <xf numFmtId="0" fontId="4" fillId="0" borderId="0" xfId="0" applyFont="1"/>
    <xf numFmtId="0" fontId="4" fillId="0" borderId="0" xfId="0" applyFont="1" applyBorder="1"/>
    <xf numFmtId="11" fontId="4" fillId="0" borderId="0" xfId="0" applyNumberFormat="1" applyFont="1"/>
    <xf numFmtId="165" fontId="0" fillId="0" borderId="0" xfId="0" applyNumberFormat="1" applyFill="1"/>
    <xf numFmtId="0" fontId="4" fillId="0" borderId="4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7" xfId="0" applyFont="1" applyBorder="1"/>
    <xf numFmtId="0" fontId="6" fillId="0" borderId="0" xfId="0" applyFont="1" applyBorder="1"/>
    <xf numFmtId="164" fontId="7" fillId="0" borderId="0" xfId="0" applyNumberFormat="1" applyFont="1"/>
    <xf numFmtId="167" fontId="0" fillId="0" borderId="0" xfId="0" applyNumberFormat="1"/>
    <xf numFmtId="168" fontId="0" fillId="0" borderId="0" xfId="0" applyNumberFormat="1"/>
    <xf numFmtId="164" fontId="4" fillId="0" borderId="0" xfId="0" applyNumberFormat="1" applyFont="1"/>
    <xf numFmtId="11" fontId="4" fillId="0" borderId="0" xfId="1" applyFont="1" applyFill="1"/>
    <xf numFmtId="0" fontId="0" fillId="3" borderId="7" xfId="0" applyFill="1" applyBorder="1"/>
    <xf numFmtId="11" fontId="1" fillId="3" borderId="0" xfId="1" applyFill="1" applyBorder="1"/>
    <xf numFmtId="0" fontId="0" fillId="3" borderId="0" xfId="0" applyFill="1"/>
    <xf numFmtId="0" fontId="4" fillId="0" borderId="0" xfId="0" applyFont="1" applyFill="1" applyBorder="1"/>
    <xf numFmtId="2" fontId="0" fillId="0" borderId="0" xfId="0" applyNumberFormat="1" applyBorder="1"/>
    <xf numFmtId="0" fontId="3" fillId="0" borderId="1" xfId="0" applyFont="1" applyBorder="1"/>
    <xf numFmtId="0" fontId="3" fillId="0" borderId="2" xfId="0" applyFont="1" applyBorder="1"/>
    <xf numFmtId="0" fontId="4" fillId="0" borderId="5" xfId="0" applyFont="1" applyBorder="1"/>
    <xf numFmtId="0" fontId="4" fillId="0" borderId="4" xfId="0" applyFont="1" applyFill="1" applyBorder="1"/>
    <xf numFmtId="166" fontId="0" fillId="0" borderId="0" xfId="0" applyNumberFormat="1" applyBorder="1"/>
    <xf numFmtId="166" fontId="0" fillId="0" borderId="7" xfId="0" applyNumberFormat="1" applyBorder="1"/>
    <xf numFmtId="0" fontId="0" fillId="0" borderId="4" xfId="0" applyFont="1" applyFill="1" applyBorder="1"/>
    <xf numFmtId="0" fontId="1" fillId="0" borderId="0" xfId="0" applyFont="1"/>
    <xf numFmtId="0" fontId="1" fillId="0" borderId="2" xfId="0" applyFont="1" applyBorder="1"/>
    <xf numFmtId="11" fontId="1" fillId="0" borderId="0" xfId="0" applyNumberFormat="1" applyFont="1"/>
    <xf numFmtId="169" fontId="0" fillId="0" borderId="0" xfId="0" applyNumberFormat="1"/>
    <xf numFmtId="0" fontId="1" fillId="0" borderId="7" xfId="0" applyFont="1" applyBorder="1"/>
    <xf numFmtId="0" fontId="1" fillId="0" borderId="4" xfId="0" applyFont="1" applyBorder="1"/>
    <xf numFmtId="0" fontId="1" fillId="0" borderId="0" xfId="0" applyFont="1" applyBorder="1"/>
    <xf numFmtId="11" fontId="0" fillId="0" borderId="9" xfId="0" applyNumberFormat="1" applyBorder="1"/>
    <xf numFmtId="11" fontId="0" fillId="0" borderId="0" xfId="0" applyNumberFormat="1" applyBorder="1"/>
    <xf numFmtId="11" fontId="1" fillId="3" borderId="0" xfId="1" applyNumberFormat="1" applyFill="1" applyBorder="1"/>
    <xf numFmtId="0" fontId="0" fillId="0" borderId="9" xfId="0" applyBorder="1"/>
    <xf numFmtId="0" fontId="0" fillId="0" borderId="9" xfId="0" applyFill="1" applyBorder="1"/>
    <xf numFmtId="11" fontId="1" fillId="0" borderId="9" xfId="1" applyFill="1" applyBorder="1"/>
    <xf numFmtId="11" fontId="1" fillId="0" borderId="9" xfId="1" applyFont="1" applyFill="1" applyBorder="1"/>
    <xf numFmtId="0" fontId="0" fillId="0" borderId="0" xfId="0" applyAlignment="1"/>
    <xf numFmtId="0" fontId="11" fillId="5" borderId="0" xfId="0" applyFont="1" applyFill="1" applyAlignment="1"/>
    <xf numFmtId="0" fontId="11" fillId="3" borderId="0" xfId="0" applyFont="1" applyFill="1" applyAlignment="1"/>
    <xf numFmtId="0" fontId="1" fillId="0" borderId="1" xfId="0" applyFont="1" applyBorder="1"/>
    <xf numFmtId="11" fontId="0" fillId="0" borderId="2" xfId="0" applyNumberFormat="1" applyBorder="1"/>
    <xf numFmtId="0" fontId="0" fillId="0" borderId="0" xfId="0"/>
    <xf numFmtId="0" fontId="1" fillId="6" borderId="0" xfId="0" applyFont="1" applyFill="1" applyAlignment="1"/>
    <xf numFmtId="0" fontId="0" fillId="6" borderId="0" xfId="0" applyFill="1" applyAlignment="1"/>
    <xf numFmtId="0" fontId="0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/>
    <xf numFmtId="0" fontId="0" fillId="0" borderId="0" xfId="0" applyFont="1" applyFill="1"/>
    <xf numFmtId="0" fontId="1" fillId="0" borderId="6" xfId="0" applyFont="1" applyFill="1" applyBorder="1"/>
    <xf numFmtId="0" fontId="1" fillId="0" borderId="4" xfId="0" applyFont="1" applyFill="1" applyBorder="1"/>
    <xf numFmtId="0" fontId="0" fillId="0" borderId="7" xfId="0" applyFont="1" applyFill="1" applyBorder="1"/>
    <xf numFmtId="0" fontId="0" fillId="0" borderId="0" xfId="0"/>
    <xf numFmtId="2" fontId="1" fillId="0" borderId="0" xfId="0" applyNumberFormat="1" applyFont="1"/>
    <xf numFmtId="165" fontId="0" fillId="0" borderId="9" xfId="0" applyNumberFormat="1" applyBorder="1"/>
    <xf numFmtId="0" fontId="1" fillId="4" borderId="0" xfId="0" applyFont="1" applyFill="1"/>
    <xf numFmtId="0" fontId="0" fillId="4" borderId="0" xfId="0" applyFill="1"/>
    <xf numFmtId="0" fontId="0" fillId="0" borderId="0" xfId="0"/>
  </cellXfs>
  <cellStyles count="2">
    <cellStyle name="conc" xfId="1" xr:uid="{00000000-0005-0000-0000-000000000000}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1242903742464E-2"/>
          <c:y val="0.18086215876711934"/>
          <c:w val="0.77800516474413961"/>
          <c:h val="0.72120387675275988"/>
        </c:manualLayout>
      </c:layout>
      <c:scatterChart>
        <c:scatterStyle val="lineMarker"/>
        <c:varyColors val="0"/>
        <c:ser>
          <c:idx val="0"/>
          <c:order val="0"/>
          <c:tx>
            <c:v>rho</c:v>
          </c:tx>
          <c:marker>
            <c:symbol val="none"/>
          </c:marker>
          <c:xVal>
            <c:numRef>
              <c:f>data!$B$3:$B$12</c:f>
              <c:numCache>
                <c:formatCode>General</c:formatCode>
                <c:ptCount val="10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</c:numCache>
            </c:numRef>
          </c:xVal>
          <c:yVal>
            <c:numRef>
              <c:f>data!$E$3:$E$12</c:f>
              <c:numCache>
                <c:formatCode>0.00E+00</c:formatCode>
                <c:ptCount val="10"/>
                <c:pt idx="0">
                  <c:v>-1.0009033547506624E+16</c:v>
                </c:pt>
                <c:pt idx="1">
                  <c:v>-1.0009033547506624E+16</c:v>
                </c:pt>
                <c:pt idx="2">
                  <c:v>1.0009033547506624E+16</c:v>
                </c:pt>
                <c:pt idx="3">
                  <c:v>1.0009033547506624E+16</c:v>
                </c:pt>
                <c:pt idx="4">
                  <c:v>-1.0009033547506624E+16</c:v>
                </c:pt>
                <c:pt idx="5">
                  <c:v>-1.0009033547506624E+16</c:v>
                </c:pt>
                <c:pt idx="6">
                  <c:v>1.0009033547506624E+16</c:v>
                </c:pt>
                <c:pt idx="7">
                  <c:v>1.0009033547506624E+16</c:v>
                </c:pt>
                <c:pt idx="8">
                  <c:v>-1.0009033547506624E+16</c:v>
                </c:pt>
                <c:pt idx="9">
                  <c:v>-1.0009033547506624E+16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AB-4B59-B701-D452416D1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347104"/>
        <c:axId val="275347664"/>
      </c:scatterChart>
      <c:valAx>
        <c:axId val="275347104"/>
        <c:scaling>
          <c:orientation val="minMax"/>
          <c:max val="3.5"/>
          <c:min val="0.5"/>
        </c:scaling>
        <c:delete val="0"/>
        <c:axPos val="b"/>
        <c:numFmt formatCode="General" sourceLinked="1"/>
        <c:majorTickMark val="cross"/>
        <c:minorTickMark val="none"/>
        <c:tickLblPos val="none"/>
        <c:crossAx val="275347664"/>
        <c:crossesAt val="0"/>
        <c:crossBetween val="midCat"/>
        <c:majorUnit val="1"/>
        <c:minorUnit val="0.5"/>
      </c:valAx>
      <c:valAx>
        <c:axId val="275347664"/>
        <c:scaling>
          <c:orientation val="minMax"/>
        </c:scaling>
        <c:delete val="0"/>
        <c:axPos val="l"/>
        <c:majorGridlines/>
        <c:numFmt formatCode="0.E+00" sourceLinked="0"/>
        <c:majorTickMark val="cross"/>
        <c:minorTickMark val="none"/>
        <c:tickLblPos val="nextTo"/>
        <c:crossAx val="275347104"/>
        <c:crossesAt val="0"/>
        <c:crossBetween val="midCat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04184259576283"/>
          <c:y val="0.23944006999125117"/>
          <c:w val="0.77637656035701108"/>
          <c:h val="0.70295949492799903"/>
        </c:manualLayout>
      </c:layout>
      <c:scatterChart>
        <c:scatterStyle val="lineMarker"/>
        <c:varyColors val="0"/>
        <c:ser>
          <c:idx val="0"/>
          <c:order val="0"/>
          <c:tx>
            <c:v>V</c:v>
          </c:tx>
          <c:marker>
            <c:symbol val="none"/>
          </c:marker>
          <c:xVal>
            <c:numRef>
              <c:f>data!$J$3:$J$107</c:f>
              <c:numCache>
                <c:formatCode>General</c:formatCode>
                <c:ptCount val="105"/>
                <c:pt idx="0">
                  <c:v>-0.999</c:v>
                </c:pt>
                <c:pt idx="1">
                  <c:v>-0.95</c:v>
                </c:pt>
                <c:pt idx="2">
                  <c:v>-0.9</c:v>
                </c:pt>
                <c:pt idx="3">
                  <c:v>-0.85</c:v>
                </c:pt>
                <c:pt idx="4">
                  <c:v>-0.8</c:v>
                </c:pt>
                <c:pt idx="5">
                  <c:v>-0.75</c:v>
                </c:pt>
                <c:pt idx="6">
                  <c:v>-0.7</c:v>
                </c:pt>
                <c:pt idx="7">
                  <c:v>-0.64999999999999991</c:v>
                </c:pt>
                <c:pt idx="8">
                  <c:v>-0.6</c:v>
                </c:pt>
                <c:pt idx="9">
                  <c:v>-0.55000000000000004</c:v>
                </c:pt>
                <c:pt idx="10">
                  <c:v>-0.5</c:v>
                </c:pt>
                <c:pt idx="11">
                  <c:v>-0.44999999999999996</c:v>
                </c:pt>
                <c:pt idx="12">
                  <c:v>-0.39999999999999991</c:v>
                </c:pt>
                <c:pt idx="13">
                  <c:v>-0.35</c:v>
                </c:pt>
                <c:pt idx="14">
                  <c:v>-0.29999999999999993</c:v>
                </c:pt>
                <c:pt idx="15">
                  <c:v>-0.25</c:v>
                </c:pt>
                <c:pt idx="16">
                  <c:v>-0.19999999999999996</c:v>
                </c:pt>
                <c:pt idx="17">
                  <c:v>-0.14999999999999991</c:v>
                </c:pt>
                <c:pt idx="18">
                  <c:v>-9.9999999999999978E-2</c:v>
                </c:pt>
                <c:pt idx="19">
                  <c:v>-4.9999999999999933E-2</c:v>
                </c:pt>
                <c:pt idx="20">
                  <c:v>-1E-3</c:v>
                </c:pt>
                <c:pt idx="21">
                  <c:v>1E-3</c:v>
                </c:pt>
                <c:pt idx="22">
                  <c:v>5.0000000000000044E-2</c:v>
                </c:pt>
                <c:pt idx="23">
                  <c:v>0.10000000000000009</c:v>
                </c:pt>
                <c:pt idx="24">
                  <c:v>0.15000000000000013</c:v>
                </c:pt>
                <c:pt idx="25">
                  <c:v>0.20000000000000018</c:v>
                </c:pt>
                <c:pt idx="26">
                  <c:v>0.25</c:v>
                </c:pt>
                <c:pt idx="27">
                  <c:v>0.30000000000000004</c:v>
                </c:pt>
                <c:pt idx="28">
                  <c:v>0.35000000000000009</c:v>
                </c:pt>
                <c:pt idx="29">
                  <c:v>0.40000000000000013</c:v>
                </c:pt>
                <c:pt idx="30">
                  <c:v>0.45000000000000018</c:v>
                </c:pt>
                <c:pt idx="31">
                  <c:v>0.5</c:v>
                </c:pt>
                <c:pt idx="32">
                  <c:v>0.55000000000000004</c:v>
                </c:pt>
                <c:pt idx="33">
                  <c:v>0.60000000000000009</c:v>
                </c:pt>
                <c:pt idx="34">
                  <c:v>0.65000000000000013</c:v>
                </c:pt>
                <c:pt idx="35">
                  <c:v>0.70000000000000018</c:v>
                </c:pt>
                <c:pt idx="36">
                  <c:v>0.75</c:v>
                </c:pt>
                <c:pt idx="37">
                  <c:v>0.8</c:v>
                </c:pt>
                <c:pt idx="38">
                  <c:v>0.85000000000000009</c:v>
                </c:pt>
                <c:pt idx="39">
                  <c:v>0.90000000000000013</c:v>
                </c:pt>
                <c:pt idx="40">
                  <c:v>0.95000000000000018</c:v>
                </c:pt>
                <c:pt idx="41">
                  <c:v>0.999</c:v>
                </c:pt>
                <c:pt idx="42">
                  <c:v>1.0009999999999999</c:v>
                </c:pt>
                <c:pt idx="43">
                  <c:v>1.0500000000000003</c:v>
                </c:pt>
                <c:pt idx="44">
                  <c:v>1.1000000000000001</c:v>
                </c:pt>
                <c:pt idx="45">
                  <c:v>1.1499999999999999</c:v>
                </c:pt>
                <c:pt idx="46">
                  <c:v>1.2000000000000002</c:v>
                </c:pt>
                <c:pt idx="47">
                  <c:v>1.25</c:v>
                </c:pt>
                <c:pt idx="48">
                  <c:v>1.3000000000000003</c:v>
                </c:pt>
                <c:pt idx="49">
                  <c:v>1.35</c:v>
                </c:pt>
                <c:pt idx="50">
                  <c:v>1.4000000000000004</c:v>
                </c:pt>
                <c:pt idx="51">
                  <c:v>1.4500000000000002</c:v>
                </c:pt>
                <c:pt idx="52">
                  <c:v>1.5</c:v>
                </c:pt>
                <c:pt idx="53">
                  <c:v>1.5500000000000003</c:v>
                </c:pt>
                <c:pt idx="54">
                  <c:v>1.6</c:v>
                </c:pt>
                <c:pt idx="55">
                  <c:v>1.6500000000000004</c:v>
                </c:pt>
                <c:pt idx="56">
                  <c:v>1.7000000000000002</c:v>
                </c:pt>
                <c:pt idx="57">
                  <c:v>1.75</c:v>
                </c:pt>
                <c:pt idx="58">
                  <c:v>1.8000000000000003</c:v>
                </c:pt>
                <c:pt idx="59">
                  <c:v>1.85</c:v>
                </c:pt>
                <c:pt idx="60">
                  <c:v>1.9000000000000004</c:v>
                </c:pt>
                <c:pt idx="61">
                  <c:v>1.9500000000000002</c:v>
                </c:pt>
                <c:pt idx="62">
                  <c:v>1.9990000000000001</c:v>
                </c:pt>
                <c:pt idx="63">
                  <c:v>2.0009999999999999</c:v>
                </c:pt>
                <c:pt idx="64">
                  <c:v>2.0500000000000003</c:v>
                </c:pt>
                <c:pt idx="65">
                  <c:v>2.1</c:v>
                </c:pt>
                <c:pt idx="66">
                  <c:v>2.1500000000000004</c:v>
                </c:pt>
                <c:pt idx="67">
                  <c:v>2.2000000000000002</c:v>
                </c:pt>
                <c:pt idx="68">
                  <c:v>2.25</c:v>
                </c:pt>
                <c:pt idx="69">
                  <c:v>2.3000000000000003</c:v>
                </c:pt>
                <c:pt idx="70">
                  <c:v>2.35</c:v>
                </c:pt>
                <c:pt idx="71">
                  <c:v>2.4000000000000004</c:v>
                </c:pt>
                <c:pt idx="72">
                  <c:v>2.4500000000000002</c:v>
                </c:pt>
                <c:pt idx="73">
                  <c:v>2.5</c:v>
                </c:pt>
                <c:pt idx="74">
                  <c:v>2.5500000000000003</c:v>
                </c:pt>
                <c:pt idx="75">
                  <c:v>2.6</c:v>
                </c:pt>
                <c:pt idx="76">
                  <c:v>2.6500000000000004</c:v>
                </c:pt>
                <c:pt idx="77">
                  <c:v>2.7</c:v>
                </c:pt>
                <c:pt idx="78">
                  <c:v>2.75</c:v>
                </c:pt>
                <c:pt idx="79">
                  <c:v>2.8000000000000003</c:v>
                </c:pt>
                <c:pt idx="80">
                  <c:v>2.85</c:v>
                </c:pt>
                <c:pt idx="81">
                  <c:v>2.9000000000000004</c:v>
                </c:pt>
                <c:pt idx="82">
                  <c:v>2.95</c:v>
                </c:pt>
                <c:pt idx="83">
                  <c:v>2.9990000000000001</c:v>
                </c:pt>
                <c:pt idx="84">
                  <c:v>3.0009999999999999</c:v>
                </c:pt>
                <c:pt idx="85">
                  <c:v>3.05</c:v>
                </c:pt>
                <c:pt idx="86">
                  <c:v>3.1000000000000005</c:v>
                </c:pt>
                <c:pt idx="87">
                  <c:v>3.1500000000000004</c:v>
                </c:pt>
                <c:pt idx="88">
                  <c:v>3.2</c:v>
                </c:pt>
                <c:pt idx="89">
                  <c:v>3.25</c:v>
                </c:pt>
                <c:pt idx="90">
                  <c:v>3.3</c:v>
                </c:pt>
                <c:pt idx="91">
                  <c:v>3.3500000000000005</c:v>
                </c:pt>
                <c:pt idx="92">
                  <c:v>3.4000000000000004</c:v>
                </c:pt>
                <c:pt idx="93">
                  <c:v>3.45</c:v>
                </c:pt>
                <c:pt idx="94">
                  <c:v>3.5</c:v>
                </c:pt>
                <c:pt idx="95">
                  <c:v>3.55</c:v>
                </c:pt>
                <c:pt idx="96">
                  <c:v>3.6000000000000005</c:v>
                </c:pt>
                <c:pt idx="97">
                  <c:v>3.6500000000000004</c:v>
                </c:pt>
                <c:pt idx="98">
                  <c:v>3.7</c:v>
                </c:pt>
                <c:pt idx="99">
                  <c:v>3.75</c:v>
                </c:pt>
                <c:pt idx="100">
                  <c:v>3.8000000000000007</c:v>
                </c:pt>
                <c:pt idx="101">
                  <c:v>3.8500000000000005</c:v>
                </c:pt>
                <c:pt idx="102">
                  <c:v>3.9000000000000004</c:v>
                </c:pt>
                <c:pt idx="103">
                  <c:v>3.95</c:v>
                </c:pt>
                <c:pt idx="104">
                  <c:v>3.9990000000000001</c:v>
                </c:pt>
              </c:numCache>
            </c:numRef>
          </c:xVal>
          <c:yVal>
            <c:numRef>
              <c:f>data!$K$3:$K$107</c:f>
              <c:numCache>
                <c:formatCode>0.00E+00</c:formatCode>
                <c:ptCount val="105"/>
                <c:pt idx="0">
                  <c:v>-2.315950217504816E-6</c:v>
                </c:pt>
                <c:pt idx="1">
                  <c:v>-1.1011775308456345E-4</c:v>
                </c:pt>
                <c:pt idx="2">
                  <c:v>-2.0864416373917257E-4</c:v>
                </c:pt>
                <c:pt idx="3">
                  <c:v>-2.9557923196382794E-4</c:v>
                </c:pt>
                <c:pt idx="4">
                  <c:v>-3.709229577585291E-4</c:v>
                </c:pt>
                <c:pt idx="5">
                  <c:v>-4.3467534112327636E-4</c:v>
                </c:pt>
                <c:pt idx="6">
                  <c:v>-4.8683638205806957E-4</c:v>
                </c:pt>
                <c:pt idx="7">
                  <c:v>-5.2740608056290868E-4</c:v>
                </c:pt>
                <c:pt idx="8">
                  <c:v>-5.5638443663779378E-4</c:v>
                </c:pt>
                <c:pt idx="9">
                  <c:v>-5.7377145028272478E-4</c:v>
                </c:pt>
                <c:pt idx="10">
                  <c:v>-5.7956712149770178E-4</c:v>
                </c:pt>
                <c:pt idx="11">
                  <c:v>-5.7377145028272478E-4</c:v>
                </c:pt>
                <c:pt idx="12">
                  <c:v>-5.5638443663779368E-4</c:v>
                </c:pt>
                <c:pt idx="13">
                  <c:v>-5.2740608056290868E-4</c:v>
                </c:pt>
                <c:pt idx="14">
                  <c:v>-4.8683638205806947E-4</c:v>
                </c:pt>
                <c:pt idx="15">
                  <c:v>-4.3467534112327636E-4</c:v>
                </c:pt>
                <c:pt idx="16">
                  <c:v>-3.709229577585291E-4</c:v>
                </c:pt>
                <c:pt idx="17">
                  <c:v>-2.9557923196382778E-4</c:v>
                </c:pt>
                <c:pt idx="18">
                  <c:v>-2.0864416373917257E-4</c:v>
                </c:pt>
                <c:pt idx="19">
                  <c:v>-1.1011775308456319E-4</c:v>
                </c:pt>
                <c:pt idx="20">
                  <c:v>-2.315950217504816E-6</c:v>
                </c:pt>
                <c:pt idx="21">
                  <c:v>2.315950217504816E-6</c:v>
                </c:pt>
                <c:pt idx="22">
                  <c:v>1.1011775308456345E-4</c:v>
                </c:pt>
                <c:pt idx="23">
                  <c:v>2.0864416373917285E-4</c:v>
                </c:pt>
                <c:pt idx="24">
                  <c:v>2.9557923196382816E-4</c:v>
                </c:pt>
                <c:pt idx="25">
                  <c:v>3.7092295775852942E-4</c:v>
                </c:pt>
                <c:pt idx="26">
                  <c:v>4.3467534112327636E-4</c:v>
                </c:pt>
                <c:pt idx="27">
                  <c:v>4.8683638205806957E-4</c:v>
                </c:pt>
                <c:pt idx="28">
                  <c:v>5.2740608056290868E-4</c:v>
                </c:pt>
                <c:pt idx="29">
                  <c:v>5.5638443663779378E-4</c:v>
                </c:pt>
                <c:pt idx="30">
                  <c:v>5.7377145028272489E-4</c:v>
                </c:pt>
                <c:pt idx="31">
                  <c:v>5.7956712149770178E-4</c:v>
                </c:pt>
                <c:pt idx="32">
                  <c:v>5.7377145028272478E-4</c:v>
                </c:pt>
                <c:pt idx="33">
                  <c:v>5.5638443663779368E-4</c:v>
                </c:pt>
                <c:pt idx="34">
                  <c:v>5.2740608056290857E-4</c:v>
                </c:pt>
                <c:pt idx="35">
                  <c:v>4.8683638205806936E-4</c:v>
                </c:pt>
                <c:pt idx="36">
                  <c:v>4.3467534112327636E-4</c:v>
                </c:pt>
                <c:pt idx="37">
                  <c:v>3.709229577585291E-4</c:v>
                </c:pt>
                <c:pt idx="38">
                  <c:v>2.9557923196382778E-4</c:v>
                </c:pt>
                <c:pt idx="39" formatCode="General">
                  <c:v>2.0864416373917238E-4</c:v>
                </c:pt>
                <c:pt idx="40" formatCode="General">
                  <c:v>1.1011775308456299E-4</c:v>
                </c:pt>
                <c:pt idx="41" formatCode="General">
                  <c:v>2.315950217504816E-6</c:v>
                </c:pt>
                <c:pt idx="42" formatCode="General">
                  <c:v>-2.315950217504559E-6</c:v>
                </c:pt>
                <c:pt idx="43" formatCode="General">
                  <c:v>-1.101177530845639E-4</c:v>
                </c:pt>
                <c:pt idx="44" formatCode="General">
                  <c:v>-2.0864416373917285E-4</c:v>
                </c:pt>
                <c:pt idx="45" formatCode="General">
                  <c:v>-2.9557923196382778E-4</c:v>
                </c:pt>
                <c:pt idx="46" formatCode="General">
                  <c:v>-3.7092295775852942E-4</c:v>
                </c:pt>
                <c:pt idx="47" formatCode="General">
                  <c:v>-4.3467534112327636E-4</c:v>
                </c:pt>
                <c:pt idx="48" formatCode="General">
                  <c:v>-4.8683638205806979E-4</c:v>
                </c:pt>
                <c:pt idx="49" formatCode="General">
                  <c:v>-5.2740608056290868E-4</c:v>
                </c:pt>
                <c:pt idx="50" formatCode="General">
                  <c:v>-5.5638443663779389E-4</c:v>
                </c:pt>
                <c:pt idx="51" formatCode="General">
                  <c:v>-5.7377145028272489E-4</c:v>
                </c:pt>
                <c:pt idx="52" formatCode="General">
                  <c:v>-5.7956712149770178E-4</c:v>
                </c:pt>
                <c:pt idx="53" formatCode="General">
                  <c:v>-5.7377145028272478E-4</c:v>
                </c:pt>
                <c:pt idx="54" formatCode="General">
                  <c:v>-5.5638443663779368E-4</c:v>
                </c:pt>
                <c:pt idx="55" formatCode="General">
                  <c:v>-5.2740608056290846E-4</c:v>
                </c:pt>
                <c:pt idx="56" formatCode="General">
                  <c:v>-4.8683638205806936E-4</c:v>
                </c:pt>
                <c:pt idx="57" formatCode="General">
                  <c:v>-4.3467534112327636E-4</c:v>
                </c:pt>
                <c:pt idx="58" formatCode="General">
                  <c:v>-3.7092295775852877E-4</c:v>
                </c:pt>
                <c:pt idx="59" formatCode="General">
                  <c:v>-2.9557923196382778E-4</c:v>
                </c:pt>
                <c:pt idx="60" formatCode="General">
                  <c:v>-2.08644163739172E-4</c:v>
                </c:pt>
                <c:pt idx="61" formatCode="General">
                  <c:v>-1.1011775308456299E-4</c:v>
                </c:pt>
                <c:pt idx="62" formatCode="General">
                  <c:v>-2.315950217504559E-6</c:v>
                </c:pt>
                <c:pt idx="63" formatCode="General">
                  <c:v>2.315950217504559E-6</c:v>
                </c:pt>
                <c:pt idx="64" formatCode="General">
                  <c:v>1.101177530845639E-4</c:v>
                </c:pt>
                <c:pt idx="65" formatCode="General">
                  <c:v>2.0864416373917285E-4</c:v>
                </c:pt>
                <c:pt idx="66" formatCode="General">
                  <c:v>2.9557923196382854E-4</c:v>
                </c:pt>
                <c:pt idx="67" formatCode="General">
                  <c:v>3.7092295775852942E-4</c:v>
                </c:pt>
                <c:pt idx="68" formatCode="General">
                  <c:v>4.3467534112327636E-4</c:v>
                </c:pt>
                <c:pt idx="69" formatCode="General">
                  <c:v>4.8683638205806979E-4</c:v>
                </c:pt>
                <c:pt idx="70" formatCode="General">
                  <c:v>5.2740608056290868E-4</c:v>
                </c:pt>
                <c:pt idx="71" formatCode="General">
                  <c:v>5.5638443663779389E-4</c:v>
                </c:pt>
                <c:pt idx="72" formatCode="General">
                  <c:v>5.7377145028272489E-4</c:v>
                </c:pt>
                <c:pt idx="73" formatCode="General">
                  <c:v>5.7956712149770178E-4</c:v>
                </c:pt>
                <c:pt idx="74" formatCode="General">
                  <c:v>5.7377145028272478E-4</c:v>
                </c:pt>
                <c:pt idx="75" formatCode="General">
                  <c:v>5.5638443663779368E-4</c:v>
                </c:pt>
                <c:pt idx="76" formatCode="General">
                  <c:v>5.2740608056290846E-4</c:v>
                </c:pt>
                <c:pt idx="77" formatCode="General">
                  <c:v>4.8683638205806936E-4</c:v>
                </c:pt>
                <c:pt idx="78" formatCode="General">
                  <c:v>4.3467534112327636E-4</c:v>
                </c:pt>
                <c:pt idx="79" formatCode="General">
                  <c:v>3.7092295775852877E-4</c:v>
                </c:pt>
                <c:pt idx="80" formatCode="General">
                  <c:v>2.9557923196382778E-4</c:v>
                </c:pt>
                <c:pt idx="81" formatCode="General">
                  <c:v>2.08644163739172E-4</c:v>
                </c:pt>
                <c:pt idx="82" formatCode="General">
                  <c:v>1.1011775308456299E-4</c:v>
                </c:pt>
                <c:pt idx="83" formatCode="General">
                  <c:v>2.315950217504559E-6</c:v>
                </c:pt>
                <c:pt idx="84" formatCode="General">
                  <c:v>-2.315950217504559E-6</c:v>
                </c:pt>
                <c:pt idx="85" formatCode="General">
                  <c:v>-1.1011775308456299E-4</c:v>
                </c:pt>
                <c:pt idx="86" formatCode="General">
                  <c:v>-2.086441637391736E-4</c:v>
                </c:pt>
                <c:pt idx="87" formatCode="General">
                  <c:v>-2.9557923196382854E-4</c:v>
                </c:pt>
                <c:pt idx="88" formatCode="General">
                  <c:v>-3.7092295775852942E-4</c:v>
                </c:pt>
                <c:pt idx="89" formatCode="General">
                  <c:v>-4.3467534112327636E-4</c:v>
                </c:pt>
                <c:pt idx="90" formatCode="General">
                  <c:v>-4.8683638205806936E-4</c:v>
                </c:pt>
                <c:pt idx="91" formatCode="General">
                  <c:v>-5.27406080562909E-4</c:v>
                </c:pt>
                <c:pt idx="92" formatCode="General">
                  <c:v>-5.5638443663779389E-4</c:v>
                </c:pt>
                <c:pt idx="93" formatCode="General">
                  <c:v>-5.7377145028272489E-4</c:v>
                </c:pt>
                <c:pt idx="94" formatCode="General">
                  <c:v>-5.7956712149770178E-4</c:v>
                </c:pt>
                <c:pt idx="95" formatCode="General">
                  <c:v>-5.7377145028272489E-4</c:v>
                </c:pt>
                <c:pt idx="96" formatCode="General">
                  <c:v>-5.5638443663779346E-4</c:v>
                </c:pt>
                <c:pt idx="97" formatCode="General">
                  <c:v>-5.2740608056290846E-4</c:v>
                </c:pt>
                <c:pt idx="98" formatCode="General">
                  <c:v>-4.8683638205806936E-4</c:v>
                </c:pt>
                <c:pt idx="99" formatCode="General">
                  <c:v>-4.3467534112327636E-4</c:v>
                </c:pt>
                <c:pt idx="100" formatCode="General">
                  <c:v>-3.7092295775852818E-4</c:v>
                </c:pt>
                <c:pt idx="101" formatCode="General">
                  <c:v>-2.9557923196382708E-4</c:v>
                </c:pt>
                <c:pt idx="102" formatCode="General">
                  <c:v>-2.08644163739172E-4</c:v>
                </c:pt>
                <c:pt idx="103" formatCode="General">
                  <c:v>-1.1011775308456299E-4</c:v>
                </c:pt>
                <c:pt idx="104" formatCode="General">
                  <c:v>-2.315950217504559E-6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87-4E0C-93AC-9952F50DC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42128"/>
        <c:axId val="213943248"/>
      </c:scatterChart>
      <c:valAx>
        <c:axId val="213942128"/>
        <c:scaling>
          <c:orientation val="minMax"/>
          <c:max val="3.5"/>
          <c:min val="0.5"/>
        </c:scaling>
        <c:delete val="0"/>
        <c:axPos val="b"/>
        <c:numFmt formatCode="#,##0.00" sourceLinked="0"/>
        <c:majorTickMark val="cross"/>
        <c:minorTickMark val="none"/>
        <c:tickLblPos val="none"/>
        <c:crossAx val="213943248"/>
        <c:crosses val="autoZero"/>
        <c:crossBetween val="midCat"/>
      </c:valAx>
      <c:valAx>
        <c:axId val="213943248"/>
        <c:scaling>
          <c:orientation val="minMax"/>
        </c:scaling>
        <c:delete val="0"/>
        <c:axPos val="l"/>
        <c:majorGridlines/>
        <c:numFmt formatCode="0.0E+00" sourceLinked="0"/>
        <c:majorTickMark val="out"/>
        <c:minorTickMark val="none"/>
        <c:tickLblPos val="nextTo"/>
        <c:crossAx val="213942128"/>
        <c:crossesAt val="0"/>
        <c:crossBetween val="midCat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13334429802018"/>
          <c:y val="0.20985042965519721"/>
          <c:w val="0.65014207463197615"/>
          <c:h val="0.74669220401503933"/>
        </c:manualLayout>
      </c:layout>
      <c:scatterChart>
        <c:scatterStyle val="lineMarker"/>
        <c:varyColors val="0"/>
        <c:ser>
          <c:idx val="0"/>
          <c:order val="0"/>
          <c:tx>
            <c:v>EC</c:v>
          </c:tx>
          <c:marker>
            <c:symbol val="none"/>
          </c:marker>
          <c:xVal>
            <c:numRef>
              <c:f>data!$J$3:$J$107</c:f>
              <c:numCache>
                <c:formatCode>General</c:formatCode>
                <c:ptCount val="105"/>
                <c:pt idx="0">
                  <c:v>-0.999</c:v>
                </c:pt>
                <c:pt idx="1">
                  <c:v>-0.95</c:v>
                </c:pt>
                <c:pt idx="2">
                  <c:v>-0.9</c:v>
                </c:pt>
                <c:pt idx="3">
                  <c:v>-0.85</c:v>
                </c:pt>
                <c:pt idx="4">
                  <c:v>-0.8</c:v>
                </c:pt>
                <c:pt idx="5">
                  <c:v>-0.75</c:v>
                </c:pt>
                <c:pt idx="6">
                  <c:v>-0.7</c:v>
                </c:pt>
                <c:pt idx="7">
                  <c:v>-0.64999999999999991</c:v>
                </c:pt>
                <c:pt idx="8">
                  <c:v>-0.6</c:v>
                </c:pt>
                <c:pt idx="9">
                  <c:v>-0.55000000000000004</c:v>
                </c:pt>
                <c:pt idx="10">
                  <c:v>-0.5</c:v>
                </c:pt>
                <c:pt idx="11">
                  <c:v>-0.44999999999999996</c:v>
                </c:pt>
                <c:pt idx="12">
                  <c:v>-0.39999999999999991</c:v>
                </c:pt>
                <c:pt idx="13">
                  <c:v>-0.35</c:v>
                </c:pt>
                <c:pt idx="14">
                  <c:v>-0.29999999999999993</c:v>
                </c:pt>
                <c:pt idx="15">
                  <c:v>-0.25</c:v>
                </c:pt>
                <c:pt idx="16">
                  <c:v>-0.19999999999999996</c:v>
                </c:pt>
                <c:pt idx="17">
                  <c:v>-0.14999999999999991</c:v>
                </c:pt>
                <c:pt idx="18">
                  <c:v>-9.9999999999999978E-2</c:v>
                </c:pt>
                <c:pt idx="19">
                  <c:v>-4.9999999999999933E-2</c:v>
                </c:pt>
                <c:pt idx="20">
                  <c:v>-1E-3</c:v>
                </c:pt>
                <c:pt idx="21">
                  <c:v>1E-3</c:v>
                </c:pt>
                <c:pt idx="22">
                  <c:v>5.0000000000000044E-2</c:v>
                </c:pt>
                <c:pt idx="23">
                  <c:v>0.10000000000000009</c:v>
                </c:pt>
                <c:pt idx="24">
                  <c:v>0.15000000000000013</c:v>
                </c:pt>
                <c:pt idx="25">
                  <c:v>0.20000000000000018</c:v>
                </c:pt>
                <c:pt idx="26">
                  <c:v>0.25</c:v>
                </c:pt>
                <c:pt idx="27">
                  <c:v>0.30000000000000004</c:v>
                </c:pt>
                <c:pt idx="28">
                  <c:v>0.35000000000000009</c:v>
                </c:pt>
                <c:pt idx="29">
                  <c:v>0.40000000000000013</c:v>
                </c:pt>
                <c:pt idx="30">
                  <c:v>0.45000000000000018</c:v>
                </c:pt>
                <c:pt idx="31">
                  <c:v>0.5</c:v>
                </c:pt>
                <c:pt idx="32">
                  <c:v>0.55000000000000004</c:v>
                </c:pt>
                <c:pt idx="33">
                  <c:v>0.60000000000000009</c:v>
                </c:pt>
                <c:pt idx="34">
                  <c:v>0.65000000000000013</c:v>
                </c:pt>
                <c:pt idx="35">
                  <c:v>0.70000000000000018</c:v>
                </c:pt>
                <c:pt idx="36">
                  <c:v>0.75</c:v>
                </c:pt>
                <c:pt idx="37">
                  <c:v>0.8</c:v>
                </c:pt>
                <c:pt idx="38">
                  <c:v>0.85000000000000009</c:v>
                </c:pt>
                <c:pt idx="39">
                  <c:v>0.90000000000000013</c:v>
                </c:pt>
                <c:pt idx="40">
                  <c:v>0.95000000000000018</c:v>
                </c:pt>
                <c:pt idx="41">
                  <c:v>0.999</c:v>
                </c:pt>
                <c:pt idx="42">
                  <c:v>1.0009999999999999</c:v>
                </c:pt>
                <c:pt idx="43">
                  <c:v>1.0500000000000003</c:v>
                </c:pt>
                <c:pt idx="44">
                  <c:v>1.1000000000000001</c:v>
                </c:pt>
                <c:pt idx="45">
                  <c:v>1.1499999999999999</c:v>
                </c:pt>
                <c:pt idx="46">
                  <c:v>1.2000000000000002</c:v>
                </c:pt>
                <c:pt idx="47">
                  <c:v>1.25</c:v>
                </c:pt>
                <c:pt idx="48">
                  <c:v>1.3000000000000003</c:v>
                </c:pt>
                <c:pt idx="49">
                  <c:v>1.35</c:v>
                </c:pt>
                <c:pt idx="50">
                  <c:v>1.4000000000000004</c:v>
                </c:pt>
                <c:pt idx="51">
                  <c:v>1.4500000000000002</c:v>
                </c:pt>
                <c:pt idx="52">
                  <c:v>1.5</c:v>
                </c:pt>
                <c:pt idx="53">
                  <c:v>1.5500000000000003</c:v>
                </c:pt>
                <c:pt idx="54">
                  <c:v>1.6</c:v>
                </c:pt>
                <c:pt idx="55">
                  <c:v>1.6500000000000004</c:v>
                </c:pt>
                <c:pt idx="56">
                  <c:v>1.7000000000000002</c:v>
                </c:pt>
                <c:pt idx="57">
                  <c:v>1.75</c:v>
                </c:pt>
                <c:pt idx="58">
                  <c:v>1.8000000000000003</c:v>
                </c:pt>
                <c:pt idx="59">
                  <c:v>1.85</c:v>
                </c:pt>
                <c:pt idx="60">
                  <c:v>1.9000000000000004</c:v>
                </c:pt>
                <c:pt idx="61">
                  <c:v>1.9500000000000002</c:v>
                </c:pt>
                <c:pt idx="62">
                  <c:v>1.9990000000000001</c:v>
                </c:pt>
                <c:pt idx="63">
                  <c:v>2.0009999999999999</c:v>
                </c:pt>
                <c:pt idx="64">
                  <c:v>2.0500000000000003</c:v>
                </c:pt>
                <c:pt idx="65">
                  <c:v>2.1</c:v>
                </c:pt>
                <c:pt idx="66">
                  <c:v>2.1500000000000004</c:v>
                </c:pt>
                <c:pt idx="67">
                  <c:v>2.2000000000000002</c:v>
                </c:pt>
                <c:pt idx="68">
                  <c:v>2.25</c:v>
                </c:pt>
                <c:pt idx="69">
                  <c:v>2.3000000000000003</c:v>
                </c:pt>
                <c:pt idx="70">
                  <c:v>2.35</c:v>
                </c:pt>
                <c:pt idx="71">
                  <c:v>2.4000000000000004</c:v>
                </c:pt>
                <c:pt idx="72">
                  <c:v>2.4500000000000002</c:v>
                </c:pt>
                <c:pt idx="73">
                  <c:v>2.5</c:v>
                </c:pt>
                <c:pt idx="74">
                  <c:v>2.5500000000000003</c:v>
                </c:pt>
                <c:pt idx="75">
                  <c:v>2.6</c:v>
                </c:pt>
                <c:pt idx="76">
                  <c:v>2.6500000000000004</c:v>
                </c:pt>
                <c:pt idx="77">
                  <c:v>2.7</c:v>
                </c:pt>
                <c:pt idx="78">
                  <c:v>2.75</c:v>
                </c:pt>
                <c:pt idx="79">
                  <c:v>2.8000000000000003</c:v>
                </c:pt>
                <c:pt idx="80">
                  <c:v>2.85</c:v>
                </c:pt>
                <c:pt idx="81">
                  <c:v>2.9000000000000004</c:v>
                </c:pt>
                <c:pt idx="82">
                  <c:v>2.95</c:v>
                </c:pt>
                <c:pt idx="83">
                  <c:v>2.9990000000000001</c:v>
                </c:pt>
                <c:pt idx="84">
                  <c:v>3.0009999999999999</c:v>
                </c:pt>
                <c:pt idx="85">
                  <c:v>3.05</c:v>
                </c:pt>
                <c:pt idx="86">
                  <c:v>3.1000000000000005</c:v>
                </c:pt>
                <c:pt idx="87">
                  <c:v>3.1500000000000004</c:v>
                </c:pt>
                <c:pt idx="88">
                  <c:v>3.2</c:v>
                </c:pt>
                <c:pt idx="89">
                  <c:v>3.25</c:v>
                </c:pt>
                <c:pt idx="90">
                  <c:v>3.3</c:v>
                </c:pt>
                <c:pt idx="91">
                  <c:v>3.3500000000000005</c:v>
                </c:pt>
                <c:pt idx="92">
                  <c:v>3.4000000000000004</c:v>
                </c:pt>
                <c:pt idx="93">
                  <c:v>3.45</c:v>
                </c:pt>
                <c:pt idx="94">
                  <c:v>3.5</c:v>
                </c:pt>
                <c:pt idx="95">
                  <c:v>3.55</c:v>
                </c:pt>
                <c:pt idx="96">
                  <c:v>3.6000000000000005</c:v>
                </c:pt>
                <c:pt idx="97">
                  <c:v>3.6500000000000004</c:v>
                </c:pt>
                <c:pt idx="98">
                  <c:v>3.7</c:v>
                </c:pt>
                <c:pt idx="99">
                  <c:v>3.75</c:v>
                </c:pt>
                <c:pt idx="100">
                  <c:v>3.8000000000000007</c:v>
                </c:pt>
                <c:pt idx="101">
                  <c:v>3.8500000000000005</c:v>
                </c:pt>
                <c:pt idx="102">
                  <c:v>3.9000000000000004</c:v>
                </c:pt>
                <c:pt idx="103">
                  <c:v>3.95</c:v>
                </c:pt>
                <c:pt idx="104">
                  <c:v>3.9990000000000001</c:v>
                </c:pt>
              </c:numCache>
            </c:numRef>
          </c:xVal>
          <c:yVal>
            <c:numRef>
              <c:f>data!$L$3:$L$107</c:f>
              <c:numCache>
                <c:formatCode>General</c:formatCode>
                <c:ptCount val="105"/>
                <c:pt idx="0">
                  <c:v>1.3000023159502176</c:v>
                </c:pt>
                <c:pt idx="1">
                  <c:v>1.3001101177530847</c:v>
                </c:pt>
                <c:pt idx="2">
                  <c:v>1.3002086441637393</c:v>
                </c:pt>
                <c:pt idx="3">
                  <c:v>1.3002955792319639</c:v>
                </c:pt>
                <c:pt idx="4">
                  <c:v>1.3003709229577585</c:v>
                </c:pt>
                <c:pt idx="5">
                  <c:v>1.3004346753411233</c:v>
                </c:pt>
                <c:pt idx="6">
                  <c:v>1.3004868363820581</c:v>
                </c:pt>
                <c:pt idx="7">
                  <c:v>1.3005274060805629</c:v>
                </c:pt>
                <c:pt idx="8">
                  <c:v>1.3005563844366379</c:v>
                </c:pt>
                <c:pt idx="9">
                  <c:v>1.3005737714502827</c:v>
                </c:pt>
                <c:pt idx="10">
                  <c:v>1.3005795671214977</c:v>
                </c:pt>
                <c:pt idx="11">
                  <c:v>1.3005737714502827</c:v>
                </c:pt>
                <c:pt idx="12">
                  <c:v>1.3005563844366379</c:v>
                </c:pt>
                <c:pt idx="13">
                  <c:v>1.3005274060805629</c:v>
                </c:pt>
                <c:pt idx="14">
                  <c:v>1.3004868363820581</c:v>
                </c:pt>
                <c:pt idx="15">
                  <c:v>1.3004346753411233</c:v>
                </c:pt>
                <c:pt idx="16">
                  <c:v>1.3003709229577585</c:v>
                </c:pt>
                <c:pt idx="17">
                  <c:v>1.3002955792319639</c:v>
                </c:pt>
                <c:pt idx="18">
                  <c:v>1.3002086441637393</c:v>
                </c:pt>
                <c:pt idx="19">
                  <c:v>1.3001101177530847</c:v>
                </c:pt>
                <c:pt idx="20">
                  <c:v>1.3000023159502176</c:v>
                </c:pt>
                <c:pt idx="21">
                  <c:v>0.99999768404978251</c:v>
                </c:pt>
                <c:pt idx="22">
                  <c:v>0.99988988224691544</c:v>
                </c:pt>
                <c:pt idx="23">
                  <c:v>0.99979135583626078</c:v>
                </c:pt>
                <c:pt idx="24">
                  <c:v>0.99970442076803612</c:v>
                </c:pt>
                <c:pt idx="25">
                  <c:v>0.99962907704224147</c:v>
                </c:pt>
                <c:pt idx="26">
                  <c:v>0.99956532465887671</c:v>
                </c:pt>
                <c:pt idx="27">
                  <c:v>0.99951316361794196</c:v>
                </c:pt>
                <c:pt idx="28">
                  <c:v>0.9994725939194371</c:v>
                </c:pt>
                <c:pt idx="29">
                  <c:v>0.99944361556336225</c:v>
                </c:pt>
                <c:pt idx="30">
                  <c:v>0.9994262285497173</c:v>
                </c:pt>
                <c:pt idx="31">
                  <c:v>0.99942043287850235</c:v>
                </c:pt>
                <c:pt idx="32">
                  <c:v>0.9994262285497173</c:v>
                </c:pt>
                <c:pt idx="33">
                  <c:v>0.99944361556336225</c:v>
                </c:pt>
                <c:pt idx="34">
                  <c:v>0.9994725939194371</c:v>
                </c:pt>
                <c:pt idx="35">
                  <c:v>0.99951316361794196</c:v>
                </c:pt>
                <c:pt idx="36">
                  <c:v>0.99956532465887671</c:v>
                </c:pt>
                <c:pt idx="37">
                  <c:v>0.99962907704224147</c:v>
                </c:pt>
                <c:pt idx="38">
                  <c:v>0.99970442076803612</c:v>
                </c:pt>
                <c:pt idx="39">
                  <c:v>0.99979135583626078</c:v>
                </c:pt>
                <c:pt idx="40">
                  <c:v>0.99988988224691544</c:v>
                </c:pt>
                <c:pt idx="41">
                  <c:v>0.99999768404978251</c:v>
                </c:pt>
                <c:pt idx="42">
                  <c:v>1.3000023159502176</c:v>
                </c:pt>
                <c:pt idx="43">
                  <c:v>1.3001101177530847</c:v>
                </c:pt>
                <c:pt idx="44">
                  <c:v>1.3002086441637393</c:v>
                </c:pt>
                <c:pt idx="45">
                  <c:v>1.3002955792319639</c:v>
                </c:pt>
                <c:pt idx="46">
                  <c:v>1.3003709229577585</c:v>
                </c:pt>
                <c:pt idx="47">
                  <c:v>1.3004346753411233</c:v>
                </c:pt>
                <c:pt idx="48">
                  <c:v>1.3004868363820581</c:v>
                </c:pt>
                <c:pt idx="49">
                  <c:v>1.3005274060805629</c:v>
                </c:pt>
                <c:pt idx="50">
                  <c:v>1.3005563844366379</c:v>
                </c:pt>
                <c:pt idx="51">
                  <c:v>1.3005737714502827</c:v>
                </c:pt>
                <c:pt idx="52">
                  <c:v>1.3005795671214977</c:v>
                </c:pt>
                <c:pt idx="53">
                  <c:v>1.3005737714502827</c:v>
                </c:pt>
                <c:pt idx="54">
                  <c:v>1.3005563844366379</c:v>
                </c:pt>
                <c:pt idx="55">
                  <c:v>1.3005274060805629</c:v>
                </c:pt>
                <c:pt idx="56">
                  <c:v>1.3004868363820581</c:v>
                </c:pt>
                <c:pt idx="57">
                  <c:v>1.3004346753411233</c:v>
                </c:pt>
                <c:pt idx="58">
                  <c:v>1.3003709229577585</c:v>
                </c:pt>
                <c:pt idx="59">
                  <c:v>1.3002955792319639</c:v>
                </c:pt>
                <c:pt idx="60">
                  <c:v>1.3002086441637393</c:v>
                </c:pt>
                <c:pt idx="61">
                  <c:v>1.3001101177530847</c:v>
                </c:pt>
                <c:pt idx="62">
                  <c:v>1.3000023159502176</c:v>
                </c:pt>
                <c:pt idx="63">
                  <c:v>0.99999768404978251</c:v>
                </c:pt>
                <c:pt idx="64">
                  <c:v>0.99988988224691544</c:v>
                </c:pt>
                <c:pt idx="65">
                  <c:v>0.99979135583626078</c:v>
                </c:pt>
                <c:pt idx="66">
                  <c:v>0.99970442076803612</c:v>
                </c:pt>
                <c:pt idx="67">
                  <c:v>0.99962907704224147</c:v>
                </c:pt>
                <c:pt idx="68">
                  <c:v>0.99956532465887671</c:v>
                </c:pt>
                <c:pt idx="69">
                  <c:v>0.99951316361794196</c:v>
                </c:pt>
                <c:pt idx="70">
                  <c:v>0.9994725939194371</c:v>
                </c:pt>
                <c:pt idx="71">
                  <c:v>0.99944361556336225</c:v>
                </c:pt>
                <c:pt idx="72">
                  <c:v>0.9994262285497173</c:v>
                </c:pt>
                <c:pt idx="73">
                  <c:v>0.99942043287850235</c:v>
                </c:pt>
                <c:pt idx="74">
                  <c:v>0.9994262285497173</c:v>
                </c:pt>
                <c:pt idx="75">
                  <c:v>0.99944361556336225</c:v>
                </c:pt>
                <c:pt idx="76">
                  <c:v>0.9994725939194371</c:v>
                </c:pt>
                <c:pt idx="77">
                  <c:v>0.99951316361794196</c:v>
                </c:pt>
                <c:pt idx="78">
                  <c:v>0.99956532465887671</c:v>
                </c:pt>
                <c:pt idx="79">
                  <c:v>0.99962907704224147</c:v>
                </c:pt>
                <c:pt idx="80">
                  <c:v>0.99970442076803612</c:v>
                </c:pt>
                <c:pt idx="81">
                  <c:v>0.99979135583626078</c:v>
                </c:pt>
                <c:pt idx="82">
                  <c:v>0.99988988224691544</c:v>
                </c:pt>
                <c:pt idx="83">
                  <c:v>0.99999768404978251</c:v>
                </c:pt>
                <c:pt idx="84">
                  <c:v>1.3000023159502176</c:v>
                </c:pt>
                <c:pt idx="85">
                  <c:v>1.3001101177530847</c:v>
                </c:pt>
                <c:pt idx="86">
                  <c:v>1.3002086441637393</c:v>
                </c:pt>
                <c:pt idx="87">
                  <c:v>1.3002955792319639</c:v>
                </c:pt>
                <c:pt idx="88">
                  <c:v>1.3003709229577585</c:v>
                </c:pt>
                <c:pt idx="89">
                  <c:v>1.3004346753411233</c:v>
                </c:pt>
                <c:pt idx="90">
                  <c:v>1.3004868363820581</c:v>
                </c:pt>
                <c:pt idx="91">
                  <c:v>1.3005274060805629</c:v>
                </c:pt>
                <c:pt idx="92">
                  <c:v>1.3005563844366379</c:v>
                </c:pt>
                <c:pt idx="93">
                  <c:v>1.3005737714502827</c:v>
                </c:pt>
                <c:pt idx="94">
                  <c:v>1.3005795671214977</c:v>
                </c:pt>
                <c:pt idx="95">
                  <c:v>1.3005737714502827</c:v>
                </c:pt>
                <c:pt idx="96">
                  <c:v>1.3005563844366379</c:v>
                </c:pt>
                <c:pt idx="97">
                  <c:v>1.3005274060805629</c:v>
                </c:pt>
                <c:pt idx="98">
                  <c:v>1.3004868363820581</c:v>
                </c:pt>
                <c:pt idx="99">
                  <c:v>1.3004346753411233</c:v>
                </c:pt>
                <c:pt idx="100">
                  <c:v>1.3003709229577585</c:v>
                </c:pt>
                <c:pt idx="101">
                  <c:v>1.3002955792319639</c:v>
                </c:pt>
                <c:pt idx="102">
                  <c:v>1.3002086441637393</c:v>
                </c:pt>
                <c:pt idx="103">
                  <c:v>1.3001101177530847</c:v>
                </c:pt>
                <c:pt idx="104">
                  <c:v>1.3000023159502176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0F-40A3-A27F-A4194D07D84C}"/>
            </c:ext>
          </c:extLst>
        </c:ser>
        <c:ser>
          <c:idx val="1"/>
          <c:order val="1"/>
          <c:tx>
            <c:v>EV</c:v>
          </c:tx>
          <c:marker>
            <c:symbol val="none"/>
          </c:marker>
          <c:xVal>
            <c:numRef>
              <c:f>data!$J$3:$J$107</c:f>
              <c:numCache>
                <c:formatCode>General</c:formatCode>
                <c:ptCount val="105"/>
                <c:pt idx="0">
                  <c:v>-0.999</c:v>
                </c:pt>
                <c:pt idx="1">
                  <c:v>-0.95</c:v>
                </c:pt>
                <c:pt idx="2">
                  <c:v>-0.9</c:v>
                </c:pt>
                <c:pt idx="3">
                  <c:v>-0.85</c:v>
                </c:pt>
                <c:pt idx="4">
                  <c:v>-0.8</c:v>
                </c:pt>
                <c:pt idx="5">
                  <c:v>-0.75</c:v>
                </c:pt>
                <c:pt idx="6">
                  <c:v>-0.7</c:v>
                </c:pt>
                <c:pt idx="7">
                  <c:v>-0.64999999999999991</c:v>
                </c:pt>
                <c:pt idx="8">
                  <c:v>-0.6</c:v>
                </c:pt>
                <c:pt idx="9">
                  <c:v>-0.55000000000000004</c:v>
                </c:pt>
                <c:pt idx="10">
                  <c:v>-0.5</c:v>
                </c:pt>
                <c:pt idx="11">
                  <c:v>-0.44999999999999996</c:v>
                </c:pt>
                <c:pt idx="12">
                  <c:v>-0.39999999999999991</c:v>
                </c:pt>
                <c:pt idx="13">
                  <c:v>-0.35</c:v>
                </c:pt>
                <c:pt idx="14">
                  <c:v>-0.29999999999999993</c:v>
                </c:pt>
                <c:pt idx="15">
                  <c:v>-0.25</c:v>
                </c:pt>
                <c:pt idx="16">
                  <c:v>-0.19999999999999996</c:v>
                </c:pt>
                <c:pt idx="17">
                  <c:v>-0.14999999999999991</c:v>
                </c:pt>
                <c:pt idx="18">
                  <c:v>-9.9999999999999978E-2</c:v>
                </c:pt>
                <c:pt idx="19">
                  <c:v>-4.9999999999999933E-2</c:v>
                </c:pt>
                <c:pt idx="20">
                  <c:v>-1E-3</c:v>
                </c:pt>
                <c:pt idx="21">
                  <c:v>1E-3</c:v>
                </c:pt>
                <c:pt idx="22">
                  <c:v>5.0000000000000044E-2</c:v>
                </c:pt>
                <c:pt idx="23">
                  <c:v>0.10000000000000009</c:v>
                </c:pt>
                <c:pt idx="24">
                  <c:v>0.15000000000000013</c:v>
                </c:pt>
                <c:pt idx="25">
                  <c:v>0.20000000000000018</c:v>
                </c:pt>
                <c:pt idx="26">
                  <c:v>0.25</c:v>
                </c:pt>
                <c:pt idx="27">
                  <c:v>0.30000000000000004</c:v>
                </c:pt>
                <c:pt idx="28">
                  <c:v>0.35000000000000009</c:v>
                </c:pt>
                <c:pt idx="29">
                  <c:v>0.40000000000000013</c:v>
                </c:pt>
                <c:pt idx="30">
                  <c:v>0.45000000000000018</c:v>
                </c:pt>
                <c:pt idx="31">
                  <c:v>0.5</c:v>
                </c:pt>
                <c:pt idx="32">
                  <c:v>0.55000000000000004</c:v>
                </c:pt>
                <c:pt idx="33">
                  <c:v>0.60000000000000009</c:v>
                </c:pt>
                <c:pt idx="34">
                  <c:v>0.65000000000000013</c:v>
                </c:pt>
                <c:pt idx="35">
                  <c:v>0.70000000000000018</c:v>
                </c:pt>
                <c:pt idx="36">
                  <c:v>0.75</c:v>
                </c:pt>
                <c:pt idx="37">
                  <c:v>0.8</c:v>
                </c:pt>
                <c:pt idx="38">
                  <c:v>0.85000000000000009</c:v>
                </c:pt>
                <c:pt idx="39">
                  <c:v>0.90000000000000013</c:v>
                </c:pt>
                <c:pt idx="40">
                  <c:v>0.95000000000000018</c:v>
                </c:pt>
                <c:pt idx="41">
                  <c:v>0.999</c:v>
                </c:pt>
                <c:pt idx="42">
                  <c:v>1.0009999999999999</c:v>
                </c:pt>
                <c:pt idx="43">
                  <c:v>1.0500000000000003</c:v>
                </c:pt>
                <c:pt idx="44">
                  <c:v>1.1000000000000001</c:v>
                </c:pt>
                <c:pt idx="45">
                  <c:v>1.1499999999999999</c:v>
                </c:pt>
                <c:pt idx="46">
                  <c:v>1.2000000000000002</c:v>
                </c:pt>
                <c:pt idx="47">
                  <c:v>1.25</c:v>
                </c:pt>
                <c:pt idx="48">
                  <c:v>1.3000000000000003</c:v>
                </c:pt>
                <c:pt idx="49">
                  <c:v>1.35</c:v>
                </c:pt>
                <c:pt idx="50">
                  <c:v>1.4000000000000004</c:v>
                </c:pt>
                <c:pt idx="51">
                  <c:v>1.4500000000000002</c:v>
                </c:pt>
                <c:pt idx="52">
                  <c:v>1.5</c:v>
                </c:pt>
                <c:pt idx="53">
                  <c:v>1.5500000000000003</c:v>
                </c:pt>
                <c:pt idx="54">
                  <c:v>1.6</c:v>
                </c:pt>
                <c:pt idx="55">
                  <c:v>1.6500000000000004</c:v>
                </c:pt>
                <c:pt idx="56">
                  <c:v>1.7000000000000002</c:v>
                </c:pt>
                <c:pt idx="57">
                  <c:v>1.75</c:v>
                </c:pt>
                <c:pt idx="58">
                  <c:v>1.8000000000000003</c:v>
                </c:pt>
                <c:pt idx="59">
                  <c:v>1.85</c:v>
                </c:pt>
                <c:pt idx="60">
                  <c:v>1.9000000000000004</c:v>
                </c:pt>
                <c:pt idx="61">
                  <c:v>1.9500000000000002</c:v>
                </c:pt>
                <c:pt idx="62">
                  <c:v>1.9990000000000001</c:v>
                </c:pt>
                <c:pt idx="63">
                  <c:v>2.0009999999999999</c:v>
                </c:pt>
                <c:pt idx="64">
                  <c:v>2.0500000000000003</c:v>
                </c:pt>
                <c:pt idx="65">
                  <c:v>2.1</c:v>
                </c:pt>
                <c:pt idx="66">
                  <c:v>2.1500000000000004</c:v>
                </c:pt>
                <c:pt idx="67">
                  <c:v>2.2000000000000002</c:v>
                </c:pt>
                <c:pt idx="68">
                  <c:v>2.25</c:v>
                </c:pt>
                <c:pt idx="69">
                  <c:v>2.3000000000000003</c:v>
                </c:pt>
                <c:pt idx="70">
                  <c:v>2.35</c:v>
                </c:pt>
                <c:pt idx="71">
                  <c:v>2.4000000000000004</c:v>
                </c:pt>
                <c:pt idx="72">
                  <c:v>2.4500000000000002</c:v>
                </c:pt>
                <c:pt idx="73">
                  <c:v>2.5</c:v>
                </c:pt>
                <c:pt idx="74">
                  <c:v>2.5500000000000003</c:v>
                </c:pt>
                <c:pt idx="75">
                  <c:v>2.6</c:v>
                </c:pt>
                <c:pt idx="76">
                  <c:v>2.6500000000000004</c:v>
                </c:pt>
                <c:pt idx="77">
                  <c:v>2.7</c:v>
                </c:pt>
                <c:pt idx="78">
                  <c:v>2.75</c:v>
                </c:pt>
                <c:pt idx="79">
                  <c:v>2.8000000000000003</c:v>
                </c:pt>
                <c:pt idx="80">
                  <c:v>2.85</c:v>
                </c:pt>
                <c:pt idx="81">
                  <c:v>2.9000000000000004</c:v>
                </c:pt>
                <c:pt idx="82">
                  <c:v>2.95</c:v>
                </c:pt>
                <c:pt idx="83">
                  <c:v>2.9990000000000001</c:v>
                </c:pt>
                <c:pt idx="84">
                  <c:v>3.0009999999999999</c:v>
                </c:pt>
                <c:pt idx="85">
                  <c:v>3.05</c:v>
                </c:pt>
                <c:pt idx="86">
                  <c:v>3.1000000000000005</c:v>
                </c:pt>
                <c:pt idx="87">
                  <c:v>3.1500000000000004</c:v>
                </c:pt>
                <c:pt idx="88">
                  <c:v>3.2</c:v>
                </c:pt>
                <c:pt idx="89">
                  <c:v>3.25</c:v>
                </c:pt>
                <c:pt idx="90">
                  <c:v>3.3</c:v>
                </c:pt>
                <c:pt idx="91">
                  <c:v>3.3500000000000005</c:v>
                </c:pt>
                <c:pt idx="92">
                  <c:v>3.4000000000000004</c:v>
                </c:pt>
                <c:pt idx="93">
                  <c:v>3.45</c:v>
                </c:pt>
                <c:pt idx="94">
                  <c:v>3.5</c:v>
                </c:pt>
                <c:pt idx="95">
                  <c:v>3.55</c:v>
                </c:pt>
                <c:pt idx="96">
                  <c:v>3.6000000000000005</c:v>
                </c:pt>
                <c:pt idx="97">
                  <c:v>3.6500000000000004</c:v>
                </c:pt>
                <c:pt idx="98">
                  <c:v>3.7</c:v>
                </c:pt>
                <c:pt idx="99">
                  <c:v>3.75</c:v>
                </c:pt>
                <c:pt idx="100">
                  <c:v>3.8000000000000007</c:v>
                </c:pt>
                <c:pt idx="101">
                  <c:v>3.8500000000000005</c:v>
                </c:pt>
                <c:pt idx="102">
                  <c:v>3.9000000000000004</c:v>
                </c:pt>
                <c:pt idx="103">
                  <c:v>3.95</c:v>
                </c:pt>
                <c:pt idx="104">
                  <c:v>3.9990000000000001</c:v>
                </c:pt>
              </c:numCache>
            </c:numRef>
          </c:xVal>
          <c:yVal>
            <c:numRef>
              <c:f>data!$M$3:$M$107</c:f>
              <c:numCache>
                <c:formatCode>General</c:formatCode>
                <c:ptCount val="105"/>
                <c:pt idx="0">
                  <c:v>-0.29999768404978255</c:v>
                </c:pt>
                <c:pt idx="1">
                  <c:v>-0.29988988224691548</c:v>
                </c:pt>
                <c:pt idx="2">
                  <c:v>-0.29979135583626088</c:v>
                </c:pt>
                <c:pt idx="3">
                  <c:v>-0.29970442076803622</c:v>
                </c:pt>
                <c:pt idx="4">
                  <c:v>-0.29962907704224151</c:v>
                </c:pt>
                <c:pt idx="5">
                  <c:v>-0.29956532465887675</c:v>
                </c:pt>
                <c:pt idx="6">
                  <c:v>-0.299513163617942</c:v>
                </c:pt>
                <c:pt idx="7">
                  <c:v>-0.29947259391943715</c:v>
                </c:pt>
                <c:pt idx="8">
                  <c:v>-0.29944361556336224</c:v>
                </c:pt>
                <c:pt idx="9">
                  <c:v>-0.29942622854971734</c:v>
                </c:pt>
                <c:pt idx="10">
                  <c:v>-0.29942043287850234</c:v>
                </c:pt>
                <c:pt idx="11">
                  <c:v>-0.29942622854971734</c:v>
                </c:pt>
                <c:pt idx="12">
                  <c:v>-0.29944361556336224</c:v>
                </c:pt>
                <c:pt idx="13">
                  <c:v>-0.29947259391943715</c:v>
                </c:pt>
                <c:pt idx="14">
                  <c:v>-0.299513163617942</c:v>
                </c:pt>
                <c:pt idx="15">
                  <c:v>-0.29956532465887675</c:v>
                </c:pt>
                <c:pt idx="16">
                  <c:v>-0.29962907704224151</c:v>
                </c:pt>
                <c:pt idx="17">
                  <c:v>-0.29970442076803622</c:v>
                </c:pt>
                <c:pt idx="18">
                  <c:v>-0.29979135583626088</c:v>
                </c:pt>
                <c:pt idx="19">
                  <c:v>-0.29988988224691548</c:v>
                </c:pt>
                <c:pt idx="20">
                  <c:v>-0.29999768404978255</c:v>
                </c:pt>
                <c:pt idx="21">
                  <c:v>-1.4000023159502175</c:v>
                </c:pt>
                <c:pt idx="22">
                  <c:v>-1.4001101177530846</c:v>
                </c:pt>
                <c:pt idx="23">
                  <c:v>-1.4002086441637391</c:v>
                </c:pt>
                <c:pt idx="24">
                  <c:v>-1.4002955792319638</c:v>
                </c:pt>
                <c:pt idx="25">
                  <c:v>-1.4003709229577583</c:v>
                </c:pt>
                <c:pt idx="26">
                  <c:v>-1.4004346753411232</c:v>
                </c:pt>
                <c:pt idx="27">
                  <c:v>-1.400486836382058</c:v>
                </c:pt>
                <c:pt idx="28">
                  <c:v>-1.4005274060805628</c:v>
                </c:pt>
                <c:pt idx="29">
                  <c:v>-1.4005563844366378</c:v>
                </c:pt>
                <c:pt idx="30">
                  <c:v>-1.4005737714502826</c:v>
                </c:pt>
                <c:pt idx="31">
                  <c:v>-1.4005795671214976</c:v>
                </c:pt>
                <c:pt idx="32">
                  <c:v>-1.4005737714502826</c:v>
                </c:pt>
                <c:pt idx="33">
                  <c:v>-1.4005563844366378</c:v>
                </c:pt>
                <c:pt idx="34">
                  <c:v>-1.4005274060805628</c:v>
                </c:pt>
                <c:pt idx="35">
                  <c:v>-1.400486836382058</c:v>
                </c:pt>
                <c:pt idx="36">
                  <c:v>-1.4004346753411232</c:v>
                </c:pt>
                <c:pt idx="37">
                  <c:v>-1.4003709229577583</c:v>
                </c:pt>
                <c:pt idx="38">
                  <c:v>-1.4002955792319638</c:v>
                </c:pt>
                <c:pt idx="39">
                  <c:v>-1.4002086441637391</c:v>
                </c:pt>
                <c:pt idx="40">
                  <c:v>-1.4001101177530846</c:v>
                </c:pt>
                <c:pt idx="41">
                  <c:v>-1.4000023159502175</c:v>
                </c:pt>
                <c:pt idx="42">
                  <c:v>-0.29999768404978255</c:v>
                </c:pt>
                <c:pt idx="43">
                  <c:v>-0.29988988224691548</c:v>
                </c:pt>
                <c:pt idx="44">
                  <c:v>-0.29979135583626088</c:v>
                </c:pt>
                <c:pt idx="45">
                  <c:v>-0.29970442076803622</c:v>
                </c:pt>
                <c:pt idx="46">
                  <c:v>-0.29962907704224151</c:v>
                </c:pt>
                <c:pt idx="47">
                  <c:v>-0.29956532465887675</c:v>
                </c:pt>
                <c:pt idx="48">
                  <c:v>-0.299513163617942</c:v>
                </c:pt>
                <c:pt idx="49">
                  <c:v>-0.29947259391943715</c:v>
                </c:pt>
                <c:pt idx="50">
                  <c:v>-0.29944361556336224</c:v>
                </c:pt>
                <c:pt idx="51">
                  <c:v>-0.29942622854971734</c:v>
                </c:pt>
                <c:pt idx="52">
                  <c:v>-0.29942043287850234</c:v>
                </c:pt>
                <c:pt idx="53">
                  <c:v>-0.29942622854971734</c:v>
                </c:pt>
                <c:pt idx="54">
                  <c:v>-0.29944361556336224</c:v>
                </c:pt>
                <c:pt idx="55">
                  <c:v>-0.29947259391943715</c:v>
                </c:pt>
                <c:pt idx="56">
                  <c:v>-0.299513163617942</c:v>
                </c:pt>
                <c:pt idx="57">
                  <c:v>-0.29956532465887675</c:v>
                </c:pt>
                <c:pt idx="58">
                  <c:v>-0.29962907704224151</c:v>
                </c:pt>
                <c:pt idx="59">
                  <c:v>-0.29970442076803622</c:v>
                </c:pt>
                <c:pt idx="60">
                  <c:v>-0.29979135583626088</c:v>
                </c:pt>
                <c:pt idx="61">
                  <c:v>-0.29988988224691548</c:v>
                </c:pt>
                <c:pt idx="62">
                  <c:v>-0.29999768404978255</c:v>
                </c:pt>
                <c:pt idx="63">
                  <c:v>-1.4000023159502175</c:v>
                </c:pt>
                <c:pt idx="64">
                  <c:v>-1.4001101177530846</c:v>
                </c:pt>
                <c:pt idx="65">
                  <c:v>-1.4002086441637391</c:v>
                </c:pt>
                <c:pt idx="66">
                  <c:v>-1.4002955792319638</c:v>
                </c:pt>
                <c:pt idx="67">
                  <c:v>-1.4003709229577583</c:v>
                </c:pt>
                <c:pt idx="68">
                  <c:v>-1.4004346753411232</c:v>
                </c:pt>
                <c:pt idx="69">
                  <c:v>-1.400486836382058</c:v>
                </c:pt>
                <c:pt idx="70">
                  <c:v>-1.4005274060805628</c:v>
                </c:pt>
                <c:pt idx="71">
                  <c:v>-1.4005563844366378</c:v>
                </c:pt>
                <c:pt idx="72">
                  <c:v>-1.4005737714502826</c:v>
                </c:pt>
                <c:pt idx="73">
                  <c:v>-1.4005795671214976</c:v>
                </c:pt>
                <c:pt idx="74">
                  <c:v>-1.4005737714502826</c:v>
                </c:pt>
                <c:pt idx="75">
                  <c:v>-1.4005563844366378</c:v>
                </c:pt>
                <c:pt idx="76">
                  <c:v>-1.4005274060805628</c:v>
                </c:pt>
                <c:pt idx="77">
                  <c:v>-1.400486836382058</c:v>
                </c:pt>
                <c:pt idx="78">
                  <c:v>-1.4004346753411232</c:v>
                </c:pt>
                <c:pt idx="79">
                  <c:v>-1.4003709229577583</c:v>
                </c:pt>
                <c:pt idx="80">
                  <c:v>-1.4002955792319638</c:v>
                </c:pt>
                <c:pt idx="81">
                  <c:v>-1.4002086441637391</c:v>
                </c:pt>
                <c:pt idx="82">
                  <c:v>-1.4001101177530846</c:v>
                </c:pt>
                <c:pt idx="83">
                  <c:v>-1.4000023159502175</c:v>
                </c:pt>
                <c:pt idx="84">
                  <c:v>-0.29999768404978255</c:v>
                </c:pt>
                <c:pt idx="85">
                  <c:v>-0.29988988224691548</c:v>
                </c:pt>
                <c:pt idx="86">
                  <c:v>-0.29979135583626088</c:v>
                </c:pt>
                <c:pt idx="87">
                  <c:v>-0.29970442076803622</c:v>
                </c:pt>
                <c:pt idx="88">
                  <c:v>-0.29962907704224151</c:v>
                </c:pt>
                <c:pt idx="89">
                  <c:v>-0.29956532465887675</c:v>
                </c:pt>
                <c:pt idx="90">
                  <c:v>-0.299513163617942</c:v>
                </c:pt>
                <c:pt idx="91">
                  <c:v>-0.29947259391943715</c:v>
                </c:pt>
                <c:pt idx="92">
                  <c:v>-0.29944361556336224</c:v>
                </c:pt>
                <c:pt idx="93">
                  <c:v>-0.29942622854971734</c:v>
                </c:pt>
                <c:pt idx="94">
                  <c:v>-0.29942043287850234</c:v>
                </c:pt>
                <c:pt idx="95">
                  <c:v>-0.29942622854971734</c:v>
                </c:pt>
                <c:pt idx="96">
                  <c:v>-0.29944361556336224</c:v>
                </c:pt>
                <c:pt idx="97">
                  <c:v>-0.29947259391943715</c:v>
                </c:pt>
                <c:pt idx="98">
                  <c:v>-0.299513163617942</c:v>
                </c:pt>
                <c:pt idx="99">
                  <c:v>-0.29956532465887675</c:v>
                </c:pt>
                <c:pt idx="100">
                  <c:v>-0.29962907704224151</c:v>
                </c:pt>
                <c:pt idx="101">
                  <c:v>-0.29970442076803622</c:v>
                </c:pt>
                <c:pt idx="102">
                  <c:v>-0.29979135583626088</c:v>
                </c:pt>
                <c:pt idx="103">
                  <c:v>-0.29988988224691548</c:v>
                </c:pt>
                <c:pt idx="104">
                  <c:v>-0.29999768404978255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80F-40A3-A27F-A4194D07D84C}"/>
            </c:ext>
          </c:extLst>
        </c:ser>
        <c:ser>
          <c:idx val="2"/>
          <c:order val="2"/>
          <c:tx>
            <c:v>Ei</c:v>
          </c:tx>
          <c:spPr>
            <a:ln w="22225">
              <a:solidFill>
                <a:schemeClr val="accent3">
                  <a:lumMod val="50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data!$J$2:$J$108</c:f>
              <c:numCache>
                <c:formatCode>General</c:formatCode>
                <c:ptCount val="107"/>
                <c:pt idx="0">
                  <c:v>-1.0009999999999999</c:v>
                </c:pt>
                <c:pt idx="1">
                  <c:v>-0.999</c:v>
                </c:pt>
                <c:pt idx="2">
                  <c:v>-0.95</c:v>
                </c:pt>
                <c:pt idx="3">
                  <c:v>-0.9</c:v>
                </c:pt>
                <c:pt idx="4">
                  <c:v>-0.85</c:v>
                </c:pt>
                <c:pt idx="5">
                  <c:v>-0.8</c:v>
                </c:pt>
                <c:pt idx="6">
                  <c:v>-0.75</c:v>
                </c:pt>
                <c:pt idx="7">
                  <c:v>-0.7</c:v>
                </c:pt>
                <c:pt idx="8">
                  <c:v>-0.64999999999999991</c:v>
                </c:pt>
                <c:pt idx="9">
                  <c:v>-0.6</c:v>
                </c:pt>
                <c:pt idx="10">
                  <c:v>-0.55000000000000004</c:v>
                </c:pt>
                <c:pt idx="11">
                  <c:v>-0.5</c:v>
                </c:pt>
                <c:pt idx="12">
                  <c:v>-0.44999999999999996</c:v>
                </c:pt>
                <c:pt idx="13">
                  <c:v>-0.39999999999999991</c:v>
                </c:pt>
                <c:pt idx="14">
                  <c:v>-0.35</c:v>
                </c:pt>
                <c:pt idx="15">
                  <c:v>-0.29999999999999993</c:v>
                </c:pt>
                <c:pt idx="16">
                  <c:v>-0.25</c:v>
                </c:pt>
                <c:pt idx="17">
                  <c:v>-0.19999999999999996</c:v>
                </c:pt>
                <c:pt idx="18">
                  <c:v>-0.14999999999999991</c:v>
                </c:pt>
                <c:pt idx="19">
                  <c:v>-9.9999999999999978E-2</c:v>
                </c:pt>
                <c:pt idx="20">
                  <c:v>-4.9999999999999933E-2</c:v>
                </c:pt>
                <c:pt idx="21">
                  <c:v>-1E-3</c:v>
                </c:pt>
                <c:pt idx="22">
                  <c:v>1E-3</c:v>
                </c:pt>
                <c:pt idx="23">
                  <c:v>5.0000000000000044E-2</c:v>
                </c:pt>
                <c:pt idx="24">
                  <c:v>0.10000000000000009</c:v>
                </c:pt>
                <c:pt idx="25">
                  <c:v>0.15000000000000013</c:v>
                </c:pt>
                <c:pt idx="26">
                  <c:v>0.20000000000000018</c:v>
                </c:pt>
                <c:pt idx="27">
                  <c:v>0.25</c:v>
                </c:pt>
                <c:pt idx="28">
                  <c:v>0.30000000000000004</c:v>
                </c:pt>
                <c:pt idx="29">
                  <c:v>0.35000000000000009</c:v>
                </c:pt>
                <c:pt idx="30">
                  <c:v>0.40000000000000013</c:v>
                </c:pt>
                <c:pt idx="31">
                  <c:v>0.45000000000000018</c:v>
                </c:pt>
                <c:pt idx="32">
                  <c:v>0.5</c:v>
                </c:pt>
                <c:pt idx="33">
                  <c:v>0.55000000000000004</c:v>
                </c:pt>
                <c:pt idx="34">
                  <c:v>0.60000000000000009</c:v>
                </c:pt>
                <c:pt idx="35">
                  <c:v>0.65000000000000013</c:v>
                </c:pt>
                <c:pt idx="36">
                  <c:v>0.70000000000000018</c:v>
                </c:pt>
                <c:pt idx="37">
                  <c:v>0.75</c:v>
                </c:pt>
                <c:pt idx="38">
                  <c:v>0.8</c:v>
                </c:pt>
                <c:pt idx="39">
                  <c:v>0.85000000000000009</c:v>
                </c:pt>
                <c:pt idx="40">
                  <c:v>0.90000000000000013</c:v>
                </c:pt>
                <c:pt idx="41">
                  <c:v>0.95000000000000018</c:v>
                </c:pt>
                <c:pt idx="42">
                  <c:v>0.999</c:v>
                </c:pt>
                <c:pt idx="43">
                  <c:v>1.0009999999999999</c:v>
                </c:pt>
                <c:pt idx="44">
                  <c:v>1.0500000000000003</c:v>
                </c:pt>
                <c:pt idx="45">
                  <c:v>1.1000000000000001</c:v>
                </c:pt>
                <c:pt idx="46">
                  <c:v>1.1499999999999999</c:v>
                </c:pt>
                <c:pt idx="47">
                  <c:v>1.2000000000000002</c:v>
                </c:pt>
                <c:pt idx="48">
                  <c:v>1.25</c:v>
                </c:pt>
                <c:pt idx="49">
                  <c:v>1.3000000000000003</c:v>
                </c:pt>
                <c:pt idx="50">
                  <c:v>1.35</c:v>
                </c:pt>
                <c:pt idx="51">
                  <c:v>1.4000000000000004</c:v>
                </c:pt>
                <c:pt idx="52">
                  <c:v>1.4500000000000002</c:v>
                </c:pt>
                <c:pt idx="53">
                  <c:v>1.5</c:v>
                </c:pt>
                <c:pt idx="54">
                  <c:v>1.5500000000000003</c:v>
                </c:pt>
                <c:pt idx="55">
                  <c:v>1.6</c:v>
                </c:pt>
                <c:pt idx="56">
                  <c:v>1.6500000000000004</c:v>
                </c:pt>
                <c:pt idx="57">
                  <c:v>1.7000000000000002</c:v>
                </c:pt>
                <c:pt idx="58">
                  <c:v>1.75</c:v>
                </c:pt>
                <c:pt idx="59">
                  <c:v>1.8000000000000003</c:v>
                </c:pt>
                <c:pt idx="60">
                  <c:v>1.85</c:v>
                </c:pt>
                <c:pt idx="61">
                  <c:v>1.9000000000000004</c:v>
                </c:pt>
                <c:pt idx="62">
                  <c:v>1.9500000000000002</c:v>
                </c:pt>
                <c:pt idx="63">
                  <c:v>1.9990000000000001</c:v>
                </c:pt>
                <c:pt idx="64">
                  <c:v>2.0009999999999999</c:v>
                </c:pt>
                <c:pt idx="65">
                  <c:v>2.0500000000000003</c:v>
                </c:pt>
                <c:pt idx="66">
                  <c:v>2.1</c:v>
                </c:pt>
                <c:pt idx="67">
                  <c:v>2.1500000000000004</c:v>
                </c:pt>
                <c:pt idx="68">
                  <c:v>2.2000000000000002</c:v>
                </c:pt>
                <c:pt idx="69">
                  <c:v>2.25</c:v>
                </c:pt>
                <c:pt idx="70">
                  <c:v>2.3000000000000003</c:v>
                </c:pt>
                <c:pt idx="71">
                  <c:v>2.35</c:v>
                </c:pt>
                <c:pt idx="72">
                  <c:v>2.4000000000000004</c:v>
                </c:pt>
                <c:pt idx="73">
                  <c:v>2.4500000000000002</c:v>
                </c:pt>
                <c:pt idx="74">
                  <c:v>2.5</c:v>
                </c:pt>
                <c:pt idx="75">
                  <c:v>2.5500000000000003</c:v>
                </c:pt>
                <c:pt idx="76">
                  <c:v>2.6</c:v>
                </c:pt>
                <c:pt idx="77">
                  <c:v>2.6500000000000004</c:v>
                </c:pt>
                <c:pt idx="78">
                  <c:v>2.7</c:v>
                </c:pt>
                <c:pt idx="79">
                  <c:v>2.75</c:v>
                </c:pt>
                <c:pt idx="80">
                  <c:v>2.8000000000000003</c:v>
                </c:pt>
                <c:pt idx="81">
                  <c:v>2.85</c:v>
                </c:pt>
                <c:pt idx="82">
                  <c:v>2.9000000000000004</c:v>
                </c:pt>
                <c:pt idx="83">
                  <c:v>2.95</c:v>
                </c:pt>
                <c:pt idx="84">
                  <c:v>2.9990000000000001</c:v>
                </c:pt>
                <c:pt idx="85">
                  <c:v>3.0009999999999999</c:v>
                </c:pt>
                <c:pt idx="86">
                  <c:v>3.05</c:v>
                </c:pt>
                <c:pt idx="87">
                  <c:v>3.1000000000000005</c:v>
                </c:pt>
                <c:pt idx="88">
                  <c:v>3.1500000000000004</c:v>
                </c:pt>
                <c:pt idx="89">
                  <c:v>3.2</c:v>
                </c:pt>
                <c:pt idx="90">
                  <c:v>3.25</c:v>
                </c:pt>
                <c:pt idx="91">
                  <c:v>3.3</c:v>
                </c:pt>
                <c:pt idx="92">
                  <c:v>3.3500000000000005</c:v>
                </c:pt>
                <c:pt idx="93">
                  <c:v>3.4000000000000004</c:v>
                </c:pt>
                <c:pt idx="94">
                  <c:v>3.45</c:v>
                </c:pt>
                <c:pt idx="95">
                  <c:v>3.5</c:v>
                </c:pt>
                <c:pt idx="96">
                  <c:v>3.55</c:v>
                </c:pt>
                <c:pt idx="97">
                  <c:v>3.6000000000000005</c:v>
                </c:pt>
                <c:pt idx="98">
                  <c:v>3.6500000000000004</c:v>
                </c:pt>
                <c:pt idx="99">
                  <c:v>3.7</c:v>
                </c:pt>
                <c:pt idx="100">
                  <c:v>3.75</c:v>
                </c:pt>
                <c:pt idx="101">
                  <c:v>3.8000000000000007</c:v>
                </c:pt>
                <c:pt idx="102">
                  <c:v>3.8500000000000005</c:v>
                </c:pt>
                <c:pt idx="103">
                  <c:v>3.9000000000000004</c:v>
                </c:pt>
                <c:pt idx="104">
                  <c:v>3.95</c:v>
                </c:pt>
                <c:pt idx="105">
                  <c:v>3.9990000000000001</c:v>
                </c:pt>
                <c:pt idx="106">
                  <c:v>4.0010000000000003</c:v>
                </c:pt>
              </c:numCache>
            </c:numRef>
          </c:xVal>
          <c:yVal>
            <c:numRef>
              <c:f>data!$N$2:$N$108</c:f>
              <c:numCache>
                <c:formatCode>General</c:formatCode>
                <c:ptCount val="107"/>
                <c:pt idx="0">
                  <c:v>-0.20000231595021745</c:v>
                </c:pt>
                <c:pt idx="1">
                  <c:v>0.50000231595021749</c:v>
                </c:pt>
                <c:pt idx="2">
                  <c:v>0.50011011775308456</c:v>
                </c:pt>
                <c:pt idx="3">
                  <c:v>0.50020864416373922</c:v>
                </c:pt>
                <c:pt idx="4">
                  <c:v>0.50029557923196388</c:v>
                </c:pt>
                <c:pt idx="5">
                  <c:v>0.50037092295775853</c:v>
                </c:pt>
                <c:pt idx="6">
                  <c:v>0.50043467534112329</c:v>
                </c:pt>
                <c:pt idx="7">
                  <c:v>0.50048683638205804</c:v>
                </c:pt>
                <c:pt idx="8">
                  <c:v>0.5005274060805629</c:v>
                </c:pt>
                <c:pt idx="9">
                  <c:v>0.50055638443663775</c:v>
                </c:pt>
                <c:pt idx="10">
                  <c:v>0.5005737714502827</c:v>
                </c:pt>
                <c:pt idx="11">
                  <c:v>0.50057956712149765</c:v>
                </c:pt>
                <c:pt idx="12">
                  <c:v>0.5005737714502827</c:v>
                </c:pt>
                <c:pt idx="13">
                  <c:v>0.50055638443663775</c:v>
                </c:pt>
                <c:pt idx="14">
                  <c:v>0.5005274060805629</c:v>
                </c:pt>
                <c:pt idx="15">
                  <c:v>0.50048683638205804</c:v>
                </c:pt>
                <c:pt idx="16">
                  <c:v>0.50043467534112329</c:v>
                </c:pt>
                <c:pt idx="17">
                  <c:v>0.50037092295775853</c:v>
                </c:pt>
                <c:pt idx="18">
                  <c:v>0.50029557923196388</c:v>
                </c:pt>
                <c:pt idx="19">
                  <c:v>0.50020864416373922</c:v>
                </c:pt>
                <c:pt idx="20">
                  <c:v>0.50011011775308456</c:v>
                </c:pt>
                <c:pt idx="21">
                  <c:v>0.50000231595021749</c:v>
                </c:pt>
                <c:pt idx="22">
                  <c:v>-0.20000231595021747</c:v>
                </c:pt>
                <c:pt idx="23">
                  <c:v>-0.20011011775308452</c:v>
                </c:pt>
                <c:pt idx="24">
                  <c:v>-0.20020864416373912</c:v>
                </c:pt>
                <c:pt idx="25">
                  <c:v>-0.20029557923196378</c:v>
                </c:pt>
                <c:pt idx="26">
                  <c:v>-0.20037092295775849</c:v>
                </c:pt>
                <c:pt idx="27">
                  <c:v>-0.20043467534112322</c:v>
                </c:pt>
                <c:pt idx="28">
                  <c:v>-0.20048683638205803</c:v>
                </c:pt>
                <c:pt idx="29">
                  <c:v>-0.20052740608056285</c:v>
                </c:pt>
                <c:pt idx="30">
                  <c:v>-0.20055638443663776</c:v>
                </c:pt>
                <c:pt idx="31">
                  <c:v>-0.20057377145028268</c:v>
                </c:pt>
                <c:pt idx="32">
                  <c:v>-0.20057956712149766</c:v>
                </c:pt>
                <c:pt idx="33">
                  <c:v>-0.20057377145028268</c:v>
                </c:pt>
                <c:pt idx="34">
                  <c:v>-0.20055638443663776</c:v>
                </c:pt>
                <c:pt idx="35">
                  <c:v>-0.20052740608056285</c:v>
                </c:pt>
                <c:pt idx="36">
                  <c:v>-0.20048683638205803</c:v>
                </c:pt>
                <c:pt idx="37">
                  <c:v>-0.20043467534112322</c:v>
                </c:pt>
                <c:pt idx="38">
                  <c:v>-0.20037092295775849</c:v>
                </c:pt>
                <c:pt idx="39">
                  <c:v>-0.20029557923196378</c:v>
                </c:pt>
                <c:pt idx="40">
                  <c:v>-0.20020864416373912</c:v>
                </c:pt>
                <c:pt idx="41">
                  <c:v>-0.20011011775308452</c:v>
                </c:pt>
                <c:pt idx="42">
                  <c:v>-0.20000231595021747</c:v>
                </c:pt>
                <c:pt idx="43">
                  <c:v>0.50000231595021749</c:v>
                </c:pt>
                <c:pt idx="44">
                  <c:v>0.50011011775308456</c:v>
                </c:pt>
                <c:pt idx="45">
                  <c:v>0.50020864416373922</c:v>
                </c:pt>
                <c:pt idx="46">
                  <c:v>0.50029557923196388</c:v>
                </c:pt>
                <c:pt idx="47">
                  <c:v>0.50037092295775853</c:v>
                </c:pt>
                <c:pt idx="48">
                  <c:v>0.50043467534112329</c:v>
                </c:pt>
                <c:pt idx="49">
                  <c:v>0.50048683638205804</c:v>
                </c:pt>
                <c:pt idx="50">
                  <c:v>0.5005274060805629</c:v>
                </c:pt>
                <c:pt idx="51">
                  <c:v>0.50055638443663775</c:v>
                </c:pt>
                <c:pt idx="52">
                  <c:v>0.5005737714502827</c:v>
                </c:pt>
                <c:pt idx="53">
                  <c:v>0.50057956712149765</c:v>
                </c:pt>
                <c:pt idx="54">
                  <c:v>0.5005737714502827</c:v>
                </c:pt>
                <c:pt idx="55">
                  <c:v>0.50055638443663775</c:v>
                </c:pt>
                <c:pt idx="56">
                  <c:v>0.5005274060805629</c:v>
                </c:pt>
                <c:pt idx="57">
                  <c:v>0.50048683638205804</c:v>
                </c:pt>
                <c:pt idx="58">
                  <c:v>0.50043467534112329</c:v>
                </c:pt>
                <c:pt idx="59">
                  <c:v>0.50037092295775853</c:v>
                </c:pt>
                <c:pt idx="60">
                  <c:v>0.50029557923196388</c:v>
                </c:pt>
                <c:pt idx="61">
                  <c:v>0.50020864416373922</c:v>
                </c:pt>
                <c:pt idx="62">
                  <c:v>0.50011011775308456</c:v>
                </c:pt>
                <c:pt idx="63">
                  <c:v>0.50000231595021749</c:v>
                </c:pt>
                <c:pt idx="64">
                  <c:v>-0.20000231595021745</c:v>
                </c:pt>
                <c:pt idx="65">
                  <c:v>-0.20011011775308452</c:v>
                </c:pt>
                <c:pt idx="66">
                  <c:v>-0.20020864416373912</c:v>
                </c:pt>
                <c:pt idx="67">
                  <c:v>-0.20029557923196378</c:v>
                </c:pt>
                <c:pt idx="68">
                  <c:v>-0.20037092295775849</c:v>
                </c:pt>
                <c:pt idx="69">
                  <c:v>-0.20043467534112322</c:v>
                </c:pt>
                <c:pt idx="70">
                  <c:v>-0.20048683638205803</c:v>
                </c:pt>
                <c:pt idx="71">
                  <c:v>-0.20052740608056285</c:v>
                </c:pt>
                <c:pt idx="72">
                  <c:v>-0.20055638443663776</c:v>
                </c:pt>
                <c:pt idx="73">
                  <c:v>-0.20057377145028268</c:v>
                </c:pt>
                <c:pt idx="74">
                  <c:v>-0.20057956712149766</c:v>
                </c:pt>
                <c:pt idx="75">
                  <c:v>-0.20057377145028268</c:v>
                </c:pt>
                <c:pt idx="76">
                  <c:v>-0.20055638443663776</c:v>
                </c:pt>
                <c:pt idx="77">
                  <c:v>-0.20052740608056285</c:v>
                </c:pt>
                <c:pt idx="78">
                  <c:v>-0.20048683638205803</c:v>
                </c:pt>
                <c:pt idx="79">
                  <c:v>-0.20043467534112322</c:v>
                </c:pt>
                <c:pt idx="80">
                  <c:v>-0.20037092295775849</c:v>
                </c:pt>
                <c:pt idx="81">
                  <c:v>-0.20029557923196378</c:v>
                </c:pt>
                <c:pt idx="82">
                  <c:v>-0.20020864416373912</c:v>
                </c:pt>
                <c:pt idx="83">
                  <c:v>-0.20011011775308452</c:v>
                </c:pt>
                <c:pt idx="84">
                  <c:v>-0.20000231595021745</c:v>
                </c:pt>
                <c:pt idx="85">
                  <c:v>0.50000231595021749</c:v>
                </c:pt>
                <c:pt idx="86">
                  <c:v>0.50011011775308456</c:v>
                </c:pt>
                <c:pt idx="87">
                  <c:v>0.50020864416373922</c:v>
                </c:pt>
                <c:pt idx="88">
                  <c:v>0.50029557923196388</c:v>
                </c:pt>
                <c:pt idx="89">
                  <c:v>0.50037092295775853</c:v>
                </c:pt>
                <c:pt idx="90">
                  <c:v>0.50043467534112329</c:v>
                </c:pt>
                <c:pt idx="91">
                  <c:v>0.50048683638205804</c:v>
                </c:pt>
                <c:pt idx="92">
                  <c:v>0.5005274060805629</c:v>
                </c:pt>
                <c:pt idx="93">
                  <c:v>0.50055638443663775</c:v>
                </c:pt>
                <c:pt idx="94">
                  <c:v>0.5005737714502827</c:v>
                </c:pt>
                <c:pt idx="95">
                  <c:v>0.50057956712149765</c:v>
                </c:pt>
                <c:pt idx="96">
                  <c:v>0.5005737714502827</c:v>
                </c:pt>
                <c:pt idx="97">
                  <c:v>0.50055638443663775</c:v>
                </c:pt>
                <c:pt idx="98">
                  <c:v>0.5005274060805629</c:v>
                </c:pt>
                <c:pt idx="99">
                  <c:v>0.50048683638205804</c:v>
                </c:pt>
                <c:pt idx="100">
                  <c:v>0.50043467534112329</c:v>
                </c:pt>
                <c:pt idx="101">
                  <c:v>0.50037092295775853</c:v>
                </c:pt>
                <c:pt idx="102">
                  <c:v>0.50029557923196377</c:v>
                </c:pt>
                <c:pt idx="103">
                  <c:v>0.50020864416373922</c:v>
                </c:pt>
                <c:pt idx="104">
                  <c:v>0.50011011775308456</c:v>
                </c:pt>
                <c:pt idx="105">
                  <c:v>0.50000231595021749</c:v>
                </c:pt>
                <c:pt idx="106">
                  <c:v>-0.20000231595021747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80F-40A3-A27F-A4194D07D84C}"/>
            </c:ext>
          </c:extLst>
        </c:ser>
        <c:ser>
          <c:idx val="4"/>
          <c:order val="3"/>
          <c:tx>
            <c:v>EFn</c:v>
          </c:tx>
          <c:spPr>
            <a:ln w="22225">
              <a:prstDash val="dash"/>
            </a:ln>
          </c:spPr>
          <c:marker>
            <c:symbol val="none"/>
          </c:marker>
          <c:dPt>
            <c:idx val="1"/>
            <c:bubble3D val="0"/>
            <c:spPr>
              <a:ln w="22225"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4-980F-40A3-A27F-A4194D07D84C}"/>
              </c:ext>
            </c:extLst>
          </c:dPt>
          <c:xVal>
            <c:numRef>
              <c:f>data!$B$17:$B$18</c:f>
              <c:numCache>
                <c:formatCode>General</c:formatCode>
                <c:ptCount val="2"/>
                <c:pt idx="0">
                  <c:v>-1</c:v>
                </c:pt>
                <c:pt idx="1">
                  <c:v>4</c:v>
                </c:pt>
              </c:numCache>
            </c:numRef>
          </c:xVal>
          <c:yVal>
            <c:numRef>
              <c:f>data!$D$17:$D$18</c:f>
              <c:numCache>
                <c:formatCode>0.000</c:formatCode>
                <c:ptCount val="2"/>
                <c:pt idx="0">
                  <c:v>0.91643809424597023</c:v>
                </c:pt>
                <c:pt idx="1">
                  <c:v>0.91643809424597023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80F-40A3-A27F-A4194D07D84C}"/>
            </c:ext>
          </c:extLst>
        </c:ser>
        <c:ser>
          <c:idx val="3"/>
          <c:order val="4"/>
          <c:tx>
            <c:v>EFp</c:v>
          </c:tx>
          <c:spPr>
            <a:ln>
              <a:prstDash val="sysDash"/>
            </a:ln>
          </c:spPr>
          <c:marker>
            <c:symbol val="none"/>
          </c:marker>
          <c:dPt>
            <c:idx val="1"/>
            <c:bubble3D val="0"/>
            <c:spPr>
              <a:ln w="19050"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7-980F-40A3-A27F-A4194D07D84C}"/>
              </c:ext>
            </c:extLst>
          </c:dPt>
          <c:xVal>
            <c:numRef>
              <c:f>data!$B$17:$B$18</c:f>
              <c:numCache>
                <c:formatCode>General</c:formatCode>
                <c:ptCount val="2"/>
                <c:pt idx="0">
                  <c:v>-1</c:v>
                </c:pt>
                <c:pt idx="1">
                  <c:v>4</c:v>
                </c:pt>
              </c:numCache>
            </c:numRef>
          </c:xVal>
          <c:yVal>
            <c:numRef>
              <c:f>data!$E$17:$E$18</c:f>
              <c:numCache>
                <c:formatCode>0.000</c:formatCode>
                <c:ptCount val="2"/>
                <c:pt idx="0">
                  <c:v>0.91643809424597023</c:v>
                </c:pt>
                <c:pt idx="1">
                  <c:v>0.91643809424597023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80F-40A3-A27F-A4194D07D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625392"/>
        <c:axId val="274442688"/>
      </c:scatterChart>
      <c:valAx>
        <c:axId val="213625392"/>
        <c:scaling>
          <c:orientation val="minMax"/>
          <c:max val="3.5"/>
          <c:min val="0.5"/>
        </c:scaling>
        <c:delete val="0"/>
        <c:axPos val="b"/>
        <c:numFmt formatCode="General" sourceLinked="1"/>
        <c:majorTickMark val="cross"/>
        <c:minorTickMark val="none"/>
        <c:tickLblPos val="none"/>
        <c:crossAx val="274442688"/>
        <c:crosses val="autoZero"/>
        <c:crossBetween val="midCat"/>
      </c:valAx>
      <c:valAx>
        <c:axId val="27444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213625392"/>
        <c:crossesAt val="0"/>
        <c:crossBetween val="midCat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trlProps/ctrlProp1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390525</xdr:colOff>
          <xdr:row>9</xdr:row>
          <xdr:rowOff>95250</xdr:rowOff>
        </xdr:from>
        <xdr:to>
          <xdr:col>3</xdr:col>
          <xdr:colOff>314325</xdr:colOff>
          <xdr:row>15</xdr:row>
          <xdr:rowOff>47625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main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790574</xdr:colOff>
      <xdr:row>1</xdr:row>
      <xdr:rowOff>66675</xdr:rowOff>
    </xdr:from>
    <xdr:to>
      <xdr:col>14</xdr:col>
      <xdr:colOff>723900</xdr:colOff>
      <xdr:row>18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20</xdr:row>
      <xdr:rowOff>114301</xdr:rowOff>
    </xdr:from>
    <xdr:to>
      <xdr:col>10</xdr:col>
      <xdr:colOff>466725</xdr:colOff>
      <xdr:row>34</xdr:row>
      <xdr:rowOff>123826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247650</xdr:colOff>
      <xdr:row>1</xdr:row>
      <xdr:rowOff>66676</xdr:rowOff>
    </xdr:from>
    <xdr:to>
      <xdr:col>10</xdr:col>
      <xdr:colOff>542925</xdr:colOff>
      <xdr:row>18</xdr:row>
      <xdr:rowOff>95251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0.62029</cdr:x>
      <cdr:y>0.07108</cdr:y>
    </cdr:from>
    <cdr:to>
      <cdr:x>0.7383</cdr:x>
      <cdr:y>0.19965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038364" y="173991"/>
          <a:ext cx="387796" cy="3147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2</a:t>
          </a:r>
        </a:p>
      </cdr:txBody>
    </cdr:sp>
  </cdr:relSizeAnchor>
  <cdr:relSizeAnchor xmlns:cdr="http://schemas.openxmlformats.org/drawingml/2006/chartDrawing">
    <cdr:from>
      <cdr:x>0.36646</cdr:x>
      <cdr:y>0.08526</cdr:y>
    </cdr:from>
    <cdr:to>
      <cdr:x>0.48448</cdr:x>
      <cdr:y>0.21383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204219" y="208708"/>
          <a:ext cx="387829" cy="3147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1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0.24224</cdr:x>
      <cdr:y>0.13136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0" y="0"/>
          <a:ext cx="74295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charge density (cm</a:t>
          </a:r>
          <a:r>
            <a:rPr lang="en-US" sz="1100" baseline="30000"/>
            <a:t>-3</a:t>
          </a:r>
          <a:r>
            <a:rPr lang="en-US" sz="1100"/>
            <a:t>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0.38663</cdr:x>
      <cdr:y>0.11367</cdr:y>
    </cdr:from>
    <cdr:to>
      <cdr:x>0.48571</cdr:x>
      <cdr:y>0.23173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88343" y="258767"/>
          <a:ext cx="355789" cy="2687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/>
            <a:t>1</a:t>
          </a:r>
        </a:p>
      </cdr:txBody>
    </cdr:sp>
  </cdr:relSizeAnchor>
  <cdr:relSizeAnchor xmlns:cdr="http://schemas.openxmlformats.org/drawingml/2006/chartDrawing">
    <cdr:from>
      <cdr:x>0.64266</cdr:x>
      <cdr:y>0.10843</cdr:y>
    </cdr:from>
    <cdr:to>
      <cdr:x>0.72068</cdr:x>
      <cdr:y>0.30924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307728" y="246829"/>
          <a:ext cx="280164" cy="4571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/>
            <a:t>2</a:t>
          </a:r>
        </a:p>
      </cdr:txBody>
    </cdr:sp>
  </cdr:relSizeAnchor>
  <cdr:relSizeAnchor xmlns:cdr="http://schemas.openxmlformats.org/drawingml/2006/chartDrawing">
    <cdr:from>
      <cdr:x>0.01798</cdr:x>
      <cdr:y>0.07167</cdr:y>
    </cdr:from>
    <cdr:to>
      <cdr:x>0.28082</cdr:x>
      <cdr:y>0.16505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5666" y="151551"/>
          <a:ext cx="813654" cy="1974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Voltage (V)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0.51359</cdr:x>
      <cdr:y>0.18147</cdr:y>
    </cdr:from>
    <cdr:to>
      <cdr:x>0.61685</cdr:x>
      <cdr:y>0.29862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800232" y="447676"/>
          <a:ext cx="361943" cy="2890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/>
            <a:t>2</a:t>
          </a:r>
        </a:p>
      </cdr:txBody>
    </cdr:sp>
  </cdr:relSizeAnchor>
  <cdr:relSizeAnchor xmlns:cdr="http://schemas.openxmlformats.org/drawingml/2006/chartDrawing">
    <cdr:from>
      <cdr:x>0.26902</cdr:x>
      <cdr:y>0.18533</cdr:y>
    </cdr:from>
    <cdr:to>
      <cdr:x>0.37229</cdr:x>
      <cdr:y>0.30248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942975" y="457200"/>
          <a:ext cx="361974" cy="2890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/>
            <a:t>1</a:t>
          </a:r>
        </a:p>
      </cdr:txBody>
    </cdr:sp>
  </cdr:relSizeAnchor>
  <cdr:relSizeAnchor xmlns:cdr="http://schemas.openxmlformats.org/drawingml/2006/chartDrawing">
    <cdr:from>
      <cdr:x>0.02462</cdr:x>
      <cdr:y>0.04651</cdr:y>
    </cdr:from>
    <cdr:to>
      <cdr:x>0.30462</cdr:x>
      <cdr:y>0.14341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6200" y="114299"/>
          <a:ext cx="866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Energy (eV)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G22"/>
  <sheetViews>
    <sheetView workbookViewId="0">
      <selection activeCell="G11" sqref="G11"/>
    </sheetView>
  </sheetViews>
  <sheetFormatPr defaultRowHeight="12.75"/>
  <sheetData>
    <row r="2" spans="2:7" ht="30">
      <c r="B2" s="62" t="s">
        <v>125</v>
      </c>
      <c r="C2" s="62"/>
      <c r="D2" s="63"/>
      <c r="E2" s="37"/>
      <c r="F2" s="37"/>
    </row>
    <row r="4" spans="2:7">
      <c r="B4" s="79" t="s">
        <v>126</v>
      </c>
      <c r="C4" s="80"/>
      <c r="D4" s="80"/>
    </row>
    <row r="6" spans="2:7">
      <c r="B6" s="67" t="s">
        <v>127</v>
      </c>
      <c r="C6" s="68"/>
      <c r="D6" s="68"/>
      <c r="E6" s="68"/>
      <c r="F6" s="68"/>
      <c r="G6" s="68"/>
    </row>
    <row r="8" spans="2:7">
      <c r="B8" s="81"/>
      <c r="C8" s="81"/>
      <c r="D8" s="81"/>
      <c r="E8" s="81"/>
      <c r="F8" s="81"/>
      <c r="G8" s="81"/>
    </row>
    <row r="11" spans="2:7">
      <c r="B11" s="81"/>
      <c r="C11" s="81"/>
      <c r="D11" s="81"/>
    </row>
    <row r="14" spans="2:7">
      <c r="B14" s="61"/>
      <c r="C14" s="61"/>
      <c r="D14" s="61"/>
      <c r="E14" s="61"/>
      <c r="F14" s="61"/>
    </row>
    <row r="20" spans="1:7">
      <c r="A20" s="6"/>
    </row>
    <row r="21" spans="1:7">
      <c r="A21" s="6"/>
      <c r="G21" s="20"/>
    </row>
    <row r="22" spans="1:7">
      <c r="A22" s="6"/>
    </row>
  </sheetData>
  <mergeCells count="3">
    <mergeCell ref="B4:D4"/>
    <mergeCell ref="B8:G8"/>
    <mergeCell ref="B11:D11"/>
  </mergeCells>
  <pageMargins left="0.7" right="0.7" top="0.75" bottom="0.75" header="0.3" footer="0.3"/>
  <pageSetup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0]!goto_main">
                <anchor moveWithCells="1" sizeWithCells="1">
                  <from>
                    <xdr:col>1</xdr:col>
                    <xdr:colOff>390525</xdr:colOff>
                    <xdr:row>9</xdr:row>
                    <xdr:rowOff>95250</xdr:rowOff>
                  </from>
                  <to>
                    <xdr:col>3</xdr:col>
                    <xdr:colOff>314325</xdr:colOff>
                    <xdr:row>15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F43"/>
  <sheetViews>
    <sheetView tabSelected="1" zoomScaleNormal="100" workbookViewId="0">
      <selection activeCell="E14" sqref="E14"/>
    </sheetView>
  </sheetViews>
  <sheetFormatPr defaultColWidth="11" defaultRowHeight="12.75"/>
  <cols>
    <col min="1" max="1" width="12" bestFit="1" customWidth="1"/>
    <col min="2" max="2" width="12.75" bestFit="1" customWidth="1"/>
    <col min="3" max="3" width="12" bestFit="1" customWidth="1"/>
    <col min="4" max="4" width="11" customWidth="1"/>
    <col min="5" max="5" width="12" bestFit="1" customWidth="1"/>
  </cols>
  <sheetData>
    <row r="2" spans="1:6">
      <c r="A2" t="s">
        <v>21</v>
      </c>
    </row>
    <row r="3" spans="1:6">
      <c r="A3" s="26" t="s">
        <v>20</v>
      </c>
      <c r="B3" s="78">
        <f>const!C15</f>
        <v>2.5852026903638286E-2</v>
      </c>
      <c r="C3" s="27" t="s">
        <v>7</v>
      </c>
      <c r="D3" s="48" t="s">
        <v>105</v>
      </c>
      <c r="E3" s="3"/>
      <c r="F3" s="4"/>
    </row>
    <row r="4" spans="1:6">
      <c r="A4" s="25" t="s">
        <v>35</v>
      </c>
      <c r="B4" s="57">
        <v>0.3</v>
      </c>
      <c r="C4" s="6" t="s">
        <v>7</v>
      </c>
      <c r="D4" s="6" t="s">
        <v>106</v>
      </c>
      <c r="E4" s="6"/>
      <c r="F4" s="7"/>
    </row>
    <row r="5" spans="1:6">
      <c r="A5" s="5" t="s">
        <v>26</v>
      </c>
      <c r="B5" s="57">
        <v>16</v>
      </c>
      <c r="C5" s="6" t="s">
        <v>27</v>
      </c>
      <c r="D5" s="53" t="s">
        <v>128</v>
      </c>
      <c r="E5" s="6"/>
      <c r="F5" s="7"/>
    </row>
    <row r="6" spans="1:6" s="66" customFormat="1">
      <c r="A6" s="52" t="s">
        <v>133</v>
      </c>
      <c r="B6" s="58">
        <v>0</v>
      </c>
      <c r="C6" s="69" t="s">
        <v>19</v>
      </c>
      <c r="D6" s="70" t="s">
        <v>138</v>
      </c>
      <c r="E6" s="6"/>
      <c r="F6" s="7"/>
    </row>
    <row r="7" spans="1:6">
      <c r="A7" s="5"/>
      <c r="B7" s="6"/>
      <c r="C7" s="6"/>
      <c r="D7" s="6"/>
      <c r="E7" s="6"/>
      <c r="F7" s="7"/>
    </row>
    <row r="8" spans="1:6">
      <c r="A8" s="8" t="s">
        <v>4</v>
      </c>
      <c r="B8" s="6"/>
      <c r="C8" s="6"/>
      <c r="D8" s="9" t="s">
        <v>28</v>
      </c>
      <c r="E8" s="6"/>
      <c r="F8" s="7"/>
    </row>
    <row r="9" spans="1:6">
      <c r="A9" s="25" t="s">
        <v>78</v>
      </c>
      <c r="B9" s="57">
        <v>1</v>
      </c>
      <c r="C9" s="6"/>
      <c r="D9" s="22" t="s">
        <v>80</v>
      </c>
      <c r="E9" s="57">
        <v>1</v>
      </c>
      <c r="F9" s="7"/>
    </row>
    <row r="10" spans="1:6">
      <c r="A10" s="25" t="s">
        <v>79</v>
      </c>
      <c r="B10" s="57">
        <v>1</v>
      </c>
      <c r="C10" s="6"/>
      <c r="D10" s="22" t="s">
        <v>81</v>
      </c>
      <c r="E10" s="57">
        <v>1</v>
      </c>
      <c r="F10" s="7"/>
    </row>
    <row r="11" spans="1:6">
      <c r="A11" s="5" t="s">
        <v>5</v>
      </c>
      <c r="B11" s="58">
        <v>1.6</v>
      </c>
      <c r="C11" s="6" t="s">
        <v>7</v>
      </c>
      <c r="D11" s="6" t="s">
        <v>6</v>
      </c>
      <c r="E11" s="57">
        <v>2.4</v>
      </c>
      <c r="F11" s="7" t="s">
        <v>7</v>
      </c>
    </row>
    <row r="12" spans="1:6">
      <c r="A12" s="25" t="s">
        <v>76</v>
      </c>
      <c r="B12" s="57">
        <v>10</v>
      </c>
      <c r="C12" s="6"/>
      <c r="D12" s="22" t="s">
        <v>77</v>
      </c>
      <c r="E12" s="57">
        <v>10</v>
      </c>
      <c r="F12" s="7"/>
    </row>
    <row r="13" spans="1:6">
      <c r="A13" s="10" t="s">
        <v>12</v>
      </c>
      <c r="B13" s="59">
        <v>1E+16</v>
      </c>
      <c r="C13" s="11" t="s">
        <v>8</v>
      </c>
      <c r="D13" s="11" t="s">
        <v>2</v>
      </c>
      <c r="E13" s="60">
        <v>1E+18</v>
      </c>
      <c r="F13" s="12" t="s">
        <v>8</v>
      </c>
    </row>
    <row r="14" spans="1:6">
      <c r="A14" s="6"/>
      <c r="B14" s="6"/>
      <c r="C14" s="6"/>
      <c r="D14" s="6"/>
      <c r="E14" s="6"/>
      <c r="F14" s="6"/>
    </row>
    <row r="15" spans="1:6">
      <c r="A15" t="s">
        <v>25</v>
      </c>
      <c r="C15" s="1"/>
    </row>
    <row r="16" spans="1:6">
      <c r="A16" s="64" t="s">
        <v>130</v>
      </c>
      <c r="B16" s="3"/>
      <c r="C16" s="65"/>
      <c r="D16" s="3"/>
      <c r="E16" s="3"/>
      <c r="F16" s="4"/>
    </row>
    <row r="17" spans="1:6">
      <c r="A17" s="5" t="s">
        <v>13</v>
      </c>
      <c r="B17" s="36">
        <f>calc!C41</f>
        <v>9.2080751794418145E-2</v>
      </c>
      <c r="C17" s="6" t="s">
        <v>8</v>
      </c>
      <c r="D17" s="6" t="s">
        <v>15</v>
      </c>
      <c r="E17" s="36">
        <f>calc!F41</f>
        <v>3.0549320895481911E-20</v>
      </c>
      <c r="F17" s="7" t="s">
        <v>8</v>
      </c>
    </row>
    <row r="18" spans="1:6">
      <c r="A18" s="5" t="s">
        <v>14</v>
      </c>
      <c r="B18" s="36">
        <f>calc!C42</f>
        <v>9033547506623.5645</v>
      </c>
      <c r="C18" s="6" t="s">
        <v>8</v>
      </c>
      <c r="D18" s="6" t="s">
        <v>16</v>
      </c>
      <c r="E18" s="36">
        <f>calc!F42</f>
        <v>9.8999096645249408E+17</v>
      </c>
      <c r="F18" s="7" t="s">
        <v>8</v>
      </c>
    </row>
    <row r="19" spans="1:6">
      <c r="A19" s="5"/>
      <c r="B19" s="6"/>
      <c r="C19" s="6"/>
      <c r="D19" s="6"/>
      <c r="E19" s="6"/>
      <c r="F19" s="7"/>
    </row>
    <row r="20" spans="1:6">
      <c r="A20" s="52" t="s">
        <v>129</v>
      </c>
      <c r="B20" s="6"/>
      <c r="C20" s="6"/>
      <c r="D20" s="6"/>
      <c r="E20" s="6"/>
      <c r="F20" s="7"/>
    </row>
    <row r="21" spans="1:6">
      <c r="A21" s="52" t="s">
        <v>114</v>
      </c>
      <c r="B21" s="56">
        <f>calc!C43</f>
        <v>1.0009033547506624E+16</v>
      </c>
      <c r="C21" s="6" t="s">
        <v>8</v>
      </c>
      <c r="D21" s="53" t="s">
        <v>115</v>
      </c>
      <c r="E21" s="56">
        <f>calc!F43</f>
        <v>1.0009033547506624E+16</v>
      </c>
      <c r="F21" s="7" t="s">
        <v>8</v>
      </c>
    </row>
    <row r="22" spans="1:6">
      <c r="A22" s="5"/>
      <c r="B22" s="6"/>
      <c r="C22" s="6"/>
      <c r="D22" s="6"/>
      <c r="E22" s="6"/>
      <c r="F22" s="7"/>
    </row>
    <row r="23" spans="1:6">
      <c r="A23" s="52" t="s">
        <v>131</v>
      </c>
      <c r="B23" s="6"/>
      <c r="C23" s="6"/>
      <c r="D23" s="6"/>
      <c r="E23" s="6"/>
      <c r="F23" s="7"/>
    </row>
    <row r="24" spans="1:6">
      <c r="A24" s="10" t="s">
        <v>18</v>
      </c>
      <c r="B24" s="35">
        <f>calc!C48</f>
        <v>1.1591342429954036E-3</v>
      </c>
      <c r="C24" s="11" t="s">
        <v>19</v>
      </c>
      <c r="D24" s="51"/>
      <c r="E24" s="11"/>
      <c r="F24" s="12"/>
    </row>
    <row r="26" spans="1:6">
      <c r="A26" s="25" t="s">
        <v>85</v>
      </c>
      <c r="B26" s="14">
        <f>B4</f>
        <v>0.3</v>
      </c>
      <c r="C26" s="21" t="s">
        <v>7</v>
      </c>
      <c r="D26" s="21" t="s">
        <v>36</v>
      </c>
      <c r="E26" s="38">
        <f>2*B5</f>
        <v>32</v>
      </c>
      <c r="F26" s="21" t="s">
        <v>27</v>
      </c>
    </row>
    <row r="27" spans="1:6">
      <c r="A27" s="25" t="s">
        <v>86</v>
      </c>
      <c r="B27" s="14">
        <f>B4+E11-B11</f>
        <v>1.0999999999999996</v>
      </c>
      <c r="C27" s="21" t="s">
        <v>7</v>
      </c>
    </row>
    <row r="28" spans="1:6">
      <c r="A28" s="22"/>
      <c r="B28" s="14"/>
      <c r="C28" s="21"/>
    </row>
    <row r="29" spans="1:6">
      <c r="A29" s="22" t="s">
        <v>94</v>
      </c>
      <c r="B29" s="6">
        <v>1</v>
      </c>
      <c r="C29" s="53" t="s">
        <v>7</v>
      </c>
      <c r="D29" s="53" t="s">
        <v>132</v>
      </c>
      <c r="E29" s="6"/>
      <c r="F29" s="6"/>
    </row>
    <row r="30" spans="1:6">
      <c r="A30" s="40" t="s">
        <v>4</v>
      </c>
      <c r="B30" s="3"/>
      <c r="C30" s="3"/>
      <c r="D30" s="41" t="s">
        <v>28</v>
      </c>
      <c r="E30" s="3"/>
      <c r="F30" s="4"/>
    </row>
    <row r="31" spans="1:6">
      <c r="A31" s="25" t="s">
        <v>87</v>
      </c>
      <c r="B31" s="39">
        <f>main!B11/2-calc!C1/2*LN(calc!C4/calc!C5)</f>
        <v>0.8</v>
      </c>
      <c r="C31" s="22" t="s">
        <v>7</v>
      </c>
      <c r="D31" s="22" t="s">
        <v>87</v>
      </c>
      <c r="E31" s="39">
        <f>main!E11/2-calc!C1/2*LN(calc!F4/calc!F5)</f>
        <v>1.2</v>
      </c>
      <c r="F31" s="42" t="s">
        <v>7</v>
      </c>
    </row>
    <row r="32" spans="1:6">
      <c r="A32" s="25" t="s">
        <v>95</v>
      </c>
      <c r="B32" s="39">
        <f>B29+B4</f>
        <v>1.3</v>
      </c>
      <c r="C32" s="6" t="s">
        <v>7</v>
      </c>
      <c r="D32" s="22" t="s">
        <v>96</v>
      </c>
      <c r="E32" s="39">
        <f>B29</f>
        <v>1</v>
      </c>
      <c r="F32" s="7" t="s">
        <v>7</v>
      </c>
    </row>
    <row r="33" spans="1:6">
      <c r="A33" s="43" t="s">
        <v>97</v>
      </c>
      <c r="B33" s="39">
        <f>B32-B11</f>
        <v>-0.30000000000000004</v>
      </c>
      <c r="C33" s="6" t="s">
        <v>7</v>
      </c>
      <c r="D33" s="22" t="s">
        <v>98</v>
      </c>
      <c r="E33" s="39">
        <f>E32-E11</f>
        <v>-1.4</v>
      </c>
      <c r="F33" s="7" t="s">
        <v>7</v>
      </c>
    </row>
    <row r="34" spans="1:6">
      <c r="A34" s="43" t="s">
        <v>99</v>
      </c>
      <c r="B34" s="39">
        <f>B31+B33</f>
        <v>0.5</v>
      </c>
      <c r="C34" s="6" t="s">
        <v>7</v>
      </c>
      <c r="D34" s="22" t="s">
        <v>100</v>
      </c>
      <c r="E34" s="39">
        <f>E33+E31</f>
        <v>-0.19999999999999996</v>
      </c>
      <c r="F34" s="7" t="s">
        <v>7</v>
      </c>
    </row>
    <row r="35" spans="1:6">
      <c r="A35" s="5"/>
      <c r="B35" s="6"/>
      <c r="C35" s="6"/>
      <c r="D35" s="6"/>
      <c r="E35" s="6"/>
      <c r="F35" s="7"/>
    </row>
    <row r="36" spans="1:6">
      <c r="A36" s="46" t="s">
        <v>104</v>
      </c>
      <c r="B36" s="44">
        <f>(B34+E34)/2</f>
        <v>0.15000000000000002</v>
      </c>
      <c r="C36" s="6" t="s">
        <v>7</v>
      </c>
      <c r="D36" s="6"/>
      <c r="E36" s="6"/>
      <c r="F36" s="7"/>
    </row>
    <row r="37" spans="1:6">
      <c r="A37" s="74" t="s">
        <v>136</v>
      </c>
      <c r="B37" s="44">
        <f>B36+B3*LN(calc!C27)</f>
        <v>0.91643809424597023</v>
      </c>
      <c r="C37" s="6" t="s">
        <v>7</v>
      </c>
      <c r="D37" s="6"/>
      <c r="E37" s="6"/>
      <c r="F37" s="7"/>
    </row>
    <row r="38" spans="1:6" s="66" customFormat="1">
      <c r="A38" s="73" t="s">
        <v>137</v>
      </c>
      <c r="B38" s="45">
        <f>B37-B6</f>
        <v>0.91643809424597023</v>
      </c>
      <c r="C38" s="75" t="s">
        <v>7</v>
      </c>
      <c r="D38" s="11"/>
      <c r="E38" s="11"/>
      <c r="F38" s="12"/>
    </row>
    <row r="40" spans="1:6" s="76" customFormat="1">
      <c r="A40" s="70" t="s">
        <v>107</v>
      </c>
      <c r="B40" s="1">
        <f>calc!C8</f>
        <v>912039.38828347181</v>
      </c>
      <c r="C40" s="6" t="s">
        <v>8</v>
      </c>
      <c r="E40" s="77"/>
      <c r="F40" s="47"/>
    </row>
    <row r="41" spans="1:6" s="76" customFormat="1">
      <c r="A41" s="70" t="s">
        <v>108</v>
      </c>
      <c r="B41" s="1">
        <f>calc!F8</f>
        <v>0.17390673281326835</v>
      </c>
      <c r="C41" s="6" t="s">
        <v>8</v>
      </c>
      <c r="E41" s="77"/>
      <c r="F41" s="47"/>
    </row>
    <row r="42" spans="1:6">
      <c r="A42" s="70" t="s">
        <v>11</v>
      </c>
      <c r="B42" s="1">
        <f>calc!C12</f>
        <v>398.25844650602255</v>
      </c>
      <c r="C42" s="6" t="s">
        <v>8</v>
      </c>
    </row>
    <row r="43" spans="1:6">
      <c r="A43" s="70" t="s">
        <v>10</v>
      </c>
      <c r="B43" s="1">
        <f>calc!C13</f>
        <v>301925673.73548782</v>
      </c>
      <c r="C43" s="6" t="s">
        <v>8</v>
      </c>
    </row>
  </sheetData>
  <phoneticPr fontId="2" type="noConversion"/>
  <pageMargins left="0.75" right="0.75" top="1" bottom="1" header="0.5" footer="0.5"/>
  <pageSetup orientation="portrait" horizontalDpi="4294967292" verticalDpi="4294967292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8B92CB25-B783-41EA-8DD4-C2ED9A06F27D}">
            <xm:f>ABS(calc!#REF!-1)&gt;0.0001</xm:f>
            <x14:dxf>
              <fill>
                <patternFill>
                  <bgColor rgb="FFFF0000"/>
                </patternFill>
              </fill>
            </x14:dxf>
          </x14:cfRule>
          <xm:sqref>B21 E21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50"/>
  <sheetViews>
    <sheetView topLeftCell="A9" zoomScaleNormal="100" workbookViewId="0">
      <selection activeCell="C36" sqref="C36"/>
    </sheetView>
  </sheetViews>
  <sheetFormatPr defaultColWidth="11" defaultRowHeight="12.75"/>
  <cols>
    <col min="1" max="1" width="19.375" customWidth="1"/>
    <col min="2" max="2" width="11" customWidth="1"/>
    <col min="3" max="3" width="13" bestFit="1" customWidth="1"/>
    <col min="6" max="6" width="11.875" customWidth="1"/>
    <col min="9" max="9" width="19.75" customWidth="1"/>
    <col min="10" max="10" width="24.75" bestFit="1" customWidth="1"/>
  </cols>
  <sheetData>
    <row r="1" spans="2:9">
      <c r="B1" s="20" t="s">
        <v>20</v>
      </c>
      <c r="C1" s="24">
        <f>main!B3</f>
        <v>2.5852026903638286E-2</v>
      </c>
      <c r="D1" s="20" t="s">
        <v>7</v>
      </c>
      <c r="E1" s="13"/>
      <c r="F1" s="13"/>
      <c r="G1" s="13"/>
    </row>
    <row r="2" spans="2:9">
      <c r="B2" s="20" t="s">
        <v>3</v>
      </c>
      <c r="C2" s="18">
        <f>2*(2*PI()*511000*$C1/(0.000124)^2)^1.5</f>
        <v>2.5084646877105803E+19</v>
      </c>
      <c r="D2" s="20" t="s">
        <v>8</v>
      </c>
      <c r="E2" s="13"/>
      <c r="F2" s="13"/>
      <c r="G2" s="13"/>
    </row>
    <row r="3" spans="2:9">
      <c r="E3" s="20"/>
      <c r="F3" s="20"/>
      <c r="G3" s="20"/>
    </row>
    <row r="4" spans="2:9">
      <c r="B4" s="20" t="s">
        <v>0</v>
      </c>
      <c r="C4" s="18">
        <f>main!B9^1.5*$C$2</f>
        <v>2.5084646877105803E+19</v>
      </c>
      <c r="D4" s="20" t="s">
        <v>8</v>
      </c>
      <c r="E4" s="20" t="s">
        <v>0</v>
      </c>
      <c r="F4" s="18">
        <f>main!E9^1.5*$C$2</f>
        <v>2.5084646877105803E+19</v>
      </c>
      <c r="G4" s="20" t="s">
        <v>8</v>
      </c>
    </row>
    <row r="5" spans="2:9">
      <c r="B5" s="20" t="s">
        <v>1</v>
      </c>
      <c r="C5" s="18">
        <f>main!B10^1.5*$C$2</f>
        <v>2.5084646877105803E+19</v>
      </c>
      <c r="D5" s="20" t="s">
        <v>8</v>
      </c>
      <c r="E5" s="20" t="s">
        <v>1</v>
      </c>
      <c r="F5" s="18">
        <f>main!E10^1.5*$C$2</f>
        <v>2.5084646877105803E+19</v>
      </c>
      <c r="G5" s="20" t="s">
        <v>8</v>
      </c>
    </row>
    <row r="6" spans="2:9">
      <c r="B6" s="20"/>
      <c r="C6" s="18"/>
      <c r="D6" s="20"/>
      <c r="E6" s="20"/>
      <c r="F6" s="18"/>
      <c r="G6" s="20"/>
    </row>
    <row r="7" spans="2:9">
      <c r="B7" s="20" t="s">
        <v>12</v>
      </c>
      <c r="C7" s="18">
        <f>main!B13</f>
        <v>1E+16</v>
      </c>
      <c r="D7" s="20" t="s">
        <v>8</v>
      </c>
      <c r="E7" s="20" t="s">
        <v>2</v>
      </c>
      <c r="F7" s="19">
        <f>main!E13</f>
        <v>1E+18</v>
      </c>
      <c r="G7" s="20" t="s">
        <v>8</v>
      </c>
    </row>
    <row r="8" spans="2:9">
      <c r="B8" s="20" t="s">
        <v>107</v>
      </c>
      <c r="C8" s="18">
        <f>(C4*C5*EXP(-main!B11/$C$1))^0.5</f>
        <v>912039.38828347181</v>
      </c>
      <c r="D8" s="20" t="s">
        <v>8</v>
      </c>
      <c r="E8" s="20" t="s">
        <v>108</v>
      </c>
      <c r="F8" s="18">
        <f>(F4*F5*EXP(-main!E11/$C$1))^0.5</f>
        <v>0.17390673281326835</v>
      </c>
      <c r="G8" s="20" t="s">
        <v>8</v>
      </c>
    </row>
    <row r="9" spans="2:9">
      <c r="B9" s="20"/>
      <c r="C9" s="20"/>
      <c r="D9" s="20"/>
      <c r="E9" s="20"/>
      <c r="F9" s="20"/>
      <c r="G9" s="20"/>
    </row>
    <row r="10" spans="2:9">
      <c r="B10" s="20" t="s">
        <v>9</v>
      </c>
      <c r="C10" s="24">
        <f>main!B4-(main!B11-main!E11)/2-3/4*C1*LN(main!B9/main!B10/(main!E9/main!E10))</f>
        <v>0.7</v>
      </c>
      <c r="D10" s="20" t="s">
        <v>7</v>
      </c>
      <c r="E10" s="20"/>
      <c r="F10" s="20"/>
      <c r="G10" s="20"/>
    </row>
    <row r="11" spans="2:9">
      <c r="B11" s="20" t="s">
        <v>17</v>
      </c>
      <c r="C11" s="19">
        <f>EXP(C10/2/C1)</f>
        <v>758114.92859554966</v>
      </c>
      <c r="D11" s="20"/>
      <c r="E11" s="20"/>
      <c r="F11" s="20"/>
      <c r="G11" s="20"/>
    </row>
    <row r="12" spans="2:9">
      <c r="B12" s="20" t="s">
        <v>11</v>
      </c>
      <c r="C12" s="18">
        <f>+((C8*F8)^0.5)</f>
        <v>398.25844650602255</v>
      </c>
      <c r="D12" s="20" t="s">
        <v>8</v>
      </c>
      <c r="E12" s="20"/>
      <c r="F12" s="20"/>
      <c r="G12" s="20"/>
      <c r="I12" s="1"/>
    </row>
    <row r="13" spans="2:9">
      <c r="B13" s="20" t="s">
        <v>10</v>
      </c>
      <c r="C13" s="18">
        <f>C12*((C11^2+1/C11^2)^0.5)</f>
        <v>301925673.73548782</v>
      </c>
      <c r="D13" s="20" t="s">
        <v>8</v>
      </c>
      <c r="E13" s="20"/>
      <c r="F13" s="20"/>
      <c r="G13" s="20"/>
    </row>
    <row r="14" spans="2:9" s="66" customFormat="1">
      <c r="B14" s="71" t="s">
        <v>133</v>
      </c>
      <c r="C14" s="18">
        <f>main!B6</f>
        <v>0</v>
      </c>
      <c r="D14" s="72" t="s">
        <v>19</v>
      </c>
      <c r="E14" s="20"/>
      <c r="F14" s="20"/>
      <c r="G14" s="20"/>
    </row>
    <row r="15" spans="2:9" s="66" customFormat="1">
      <c r="B15" s="71" t="s">
        <v>134</v>
      </c>
      <c r="C15" s="18">
        <f>EXP(C14/2/C1)</f>
        <v>1</v>
      </c>
      <c r="D15" s="72"/>
      <c r="E15" s="20"/>
      <c r="F15" s="20"/>
      <c r="G15" s="20"/>
    </row>
    <row r="17" spans="1:9">
      <c r="B17" t="s">
        <v>29</v>
      </c>
      <c r="C17" s="1">
        <f>F7-C7</f>
        <v>9.9E+17</v>
      </c>
      <c r="D17" t="s">
        <v>8</v>
      </c>
    </row>
    <row r="18" spans="1:9">
      <c r="B18" t="s">
        <v>22</v>
      </c>
      <c r="C18" s="18">
        <f>C8/C11+F8*C11</f>
        <v>131842.49336480134</v>
      </c>
      <c r="D18" s="20" t="s">
        <v>8</v>
      </c>
      <c r="E18" s="20"/>
      <c r="F18" s="18"/>
      <c r="I18" s="1"/>
    </row>
    <row r="19" spans="1:9">
      <c r="B19" t="s">
        <v>23</v>
      </c>
      <c r="C19" s="18">
        <f>C17/2</f>
        <v>4.95E+17</v>
      </c>
      <c r="D19" s="20" t="s">
        <v>8</v>
      </c>
      <c r="E19" s="20" t="s">
        <v>24</v>
      </c>
      <c r="F19" s="18">
        <f>SQRT((C17/2)^2+C8^2+F8^2+C13^2)</f>
        <v>4.95E+17</v>
      </c>
      <c r="G19" t="s">
        <v>8</v>
      </c>
    </row>
    <row r="20" spans="1:9">
      <c r="B20" t="s">
        <v>30</v>
      </c>
      <c r="C20" s="18">
        <f>C19+F19</f>
        <v>9.9E+17</v>
      </c>
      <c r="D20" s="20" t="s">
        <v>8</v>
      </c>
      <c r="E20" s="20" t="s">
        <v>31</v>
      </c>
      <c r="F20" s="18">
        <f>C19-F19</f>
        <v>0</v>
      </c>
      <c r="G20" t="s">
        <v>8</v>
      </c>
      <c r="I20" s="1"/>
    </row>
    <row r="21" spans="1:9">
      <c r="B21" t="s">
        <v>32</v>
      </c>
      <c r="C21" s="1">
        <f>C20/C18</f>
        <v>7508959931914.5264</v>
      </c>
      <c r="E21" t="s">
        <v>33</v>
      </c>
      <c r="F21" s="1">
        <f>F20/C18</f>
        <v>0</v>
      </c>
    </row>
    <row r="23" spans="1:9">
      <c r="B23" t="s">
        <v>110</v>
      </c>
      <c r="C23" s="1">
        <f>C17</f>
        <v>9.9E+17</v>
      </c>
    </row>
    <row r="24" spans="1:9">
      <c r="B24" t="s">
        <v>109</v>
      </c>
      <c r="C24" s="1">
        <f>C8/C11+F8*C11</f>
        <v>131842.49336480134</v>
      </c>
    </row>
    <row r="25" spans="1:9">
      <c r="B25" t="s">
        <v>111</v>
      </c>
      <c r="C25" s="1">
        <f>C8*C11+F8/C11</f>
        <v>691430675724.85303</v>
      </c>
    </row>
    <row r="27" spans="1:9">
      <c r="A27" s="47" t="s">
        <v>113</v>
      </c>
      <c r="B27" s="47" t="s">
        <v>34</v>
      </c>
      <c r="C27" s="1">
        <f>C15*SQRT(C25/C24)*EXP(ASINH(C23/2/SQRT(C24*C25)/C15))</f>
        <v>7508959931914.5322</v>
      </c>
      <c r="E27" s="47"/>
      <c r="F27" s="1"/>
    </row>
    <row r="28" spans="1:9">
      <c r="B28" s="47" t="s">
        <v>135</v>
      </c>
      <c r="C28" s="1">
        <f>(C15^2)/C27</f>
        <v>1.3317423572202144E-13</v>
      </c>
      <c r="E28" s="47"/>
      <c r="F28" s="1"/>
    </row>
    <row r="29" spans="1:9">
      <c r="B29" s="47"/>
      <c r="E29" s="47"/>
      <c r="F29" s="49"/>
    </row>
    <row r="30" spans="1:9" s="66" customFormat="1">
      <c r="A30" t="s">
        <v>112</v>
      </c>
      <c r="B30" s="47" t="s">
        <v>13</v>
      </c>
      <c r="C30" s="1">
        <f>C8*C11*C28</f>
        <v>9.2080751794418145E-2</v>
      </c>
      <c r="D30" s="21"/>
      <c r="E30" s="47" t="s">
        <v>15</v>
      </c>
      <c r="F30" s="1">
        <f>F8*C28/C11</f>
        <v>3.0549320895481911E-20</v>
      </c>
    </row>
    <row r="31" spans="1:9">
      <c r="B31" s="47" t="s">
        <v>14</v>
      </c>
      <c r="C31" s="1">
        <f>C8*C27/C11</f>
        <v>9033547506623.5645</v>
      </c>
      <c r="D31" s="21"/>
      <c r="E31" s="47" t="s">
        <v>16</v>
      </c>
      <c r="F31" s="1">
        <f>F8*C27*C11</f>
        <v>9.8999096645249408E+17</v>
      </c>
    </row>
    <row r="32" spans="1:9" s="66" customFormat="1">
      <c r="B32" s="47" t="s">
        <v>116</v>
      </c>
      <c r="C32" s="1">
        <f>C31-C30</f>
        <v>9033547506623.4727</v>
      </c>
      <c r="D32" s="21"/>
      <c r="E32" s="47" t="s">
        <v>117</v>
      </c>
      <c r="F32" s="1">
        <f>F30-F31</f>
        <v>-9.8999096645249408E+17</v>
      </c>
    </row>
    <row r="33" spans="2:10">
      <c r="B33" t="s">
        <v>12</v>
      </c>
      <c r="C33" s="1">
        <f>C7</f>
        <v>1E+16</v>
      </c>
      <c r="D33" s="21"/>
      <c r="E33" t="s">
        <v>2</v>
      </c>
      <c r="F33" s="1">
        <f>F7</f>
        <v>1E+18</v>
      </c>
    </row>
    <row r="34" spans="2:10">
      <c r="B34" t="s">
        <v>114</v>
      </c>
      <c r="C34" s="54">
        <f>C33+C32</f>
        <v>1.0009033547506624E+16</v>
      </c>
      <c r="D34" s="21"/>
      <c r="E34" t="s">
        <v>115</v>
      </c>
      <c r="F34" s="54">
        <f>F33+F32</f>
        <v>1.000903354750592E+16</v>
      </c>
    </row>
    <row r="35" spans="2:10">
      <c r="C35" s="55"/>
      <c r="D35" s="21"/>
      <c r="F35" s="55"/>
    </row>
    <row r="36" spans="2:10">
      <c r="B36" t="s">
        <v>119</v>
      </c>
      <c r="C36" s="55">
        <f>SQRT(C30^2+C31^2+C33^2)</f>
        <v>1.0000004080248196E+16</v>
      </c>
      <c r="D36" s="21"/>
      <c r="E36" t="s">
        <v>120</v>
      </c>
      <c r="F36" s="55">
        <f>SQRT(F30^2+F31^2+F33^2)</f>
        <v>1.4071539054622075E+18</v>
      </c>
    </row>
    <row r="37" spans="2:10">
      <c r="B37" t="s">
        <v>121</v>
      </c>
      <c r="C37" s="55">
        <f>ABS(C34/C36)</f>
        <v>1.0009029463574182</v>
      </c>
      <c r="D37" s="21"/>
      <c r="E37" t="s">
        <v>122</v>
      </c>
      <c r="F37" s="55">
        <f>ABS(F34/F36)</f>
        <v>7.1129629166031098E-3</v>
      </c>
    </row>
    <row r="38" spans="2:10">
      <c r="C38" s="55"/>
      <c r="D38" s="21"/>
      <c r="F38" s="55"/>
    </row>
    <row r="39" spans="2:10">
      <c r="B39" t="s">
        <v>118</v>
      </c>
      <c r="C39" s="55">
        <f>IF(C37&gt;F37,C34,F34)</f>
        <v>1.0009033547506624E+16</v>
      </c>
      <c r="D39" t="s">
        <v>8</v>
      </c>
      <c r="F39" s="55"/>
    </row>
    <row r="40" spans="2:10" ht="13.5" customHeight="1"/>
    <row r="41" spans="2:10">
      <c r="B41" s="47" t="s">
        <v>13</v>
      </c>
      <c r="C41" s="16">
        <f>C30</f>
        <v>9.2080751794418145E-2</v>
      </c>
      <c r="D41" t="s">
        <v>8</v>
      </c>
      <c r="E41" s="47" t="s">
        <v>15</v>
      </c>
      <c r="F41" s="16">
        <f>F30</f>
        <v>3.0549320895481911E-20</v>
      </c>
      <c r="G41" t="s">
        <v>8</v>
      </c>
      <c r="I41" s="50"/>
      <c r="J41" s="50"/>
    </row>
    <row r="42" spans="2:10">
      <c r="B42" s="47" t="s">
        <v>14</v>
      </c>
      <c r="C42" s="17">
        <f>C31</f>
        <v>9033547506623.5645</v>
      </c>
      <c r="D42" t="s">
        <v>8</v>
      </c>
      <c r="E42" s="47" t="s">
        <v>16</v>
      </c>
      <c r="F42" s="17">
        <f>F31</f>
        <v>9.8999096645249408E+17</v>
      </c>
      <c r="G42" t="s">
        <v>8</v>
      </c>
      <c r="I42" s="50"/>
      <c r="J42" s="50"/>
    </row>
    <row r="43" spans="2:10">
      <c r="B43" s="47" t="s">
        <v>114</v>
      </c>
      <c r="C43" s="17">
        <f>C39</f>
        <v>1.0009033547506624E+16</v>
      </c>
      <c r="D43" t="s">
        <v>8</v>
      </c>
      <c r="E43" s="47" t="s">
        <v>115</v>
      </c>
      <c r="F43" s="17">
        <f>C39</f>
        <v>1.0009033547506624E+16</v>
      </c>
      <c r="G43" t="s">
        <v>8</v>
      </c>
      <c r="I43" s="50"/>
      <c r="J43" s="50"/>
    </row>
    <row r="45" spans="2:10">
      <c r="B45" s="21" t="s">
        <v>83</v>
      </c>
      <c r="C45">
        <f>main!B5</f>
        <v>16</v>
      </c>
      <c r="D45" s="21" t="s">
        <v>27</v>
      </c>
      <c r="E45" s="21" t="s">
        <v>84</v>
      </c>
      <c r="F45">
        <f>main!B5</f>
        <v>16</v>
      </c>
      <c r="G45" s="21" t="s">
        <v>27</v>
      </c>
    </row>
    <row r="46" spans="2:10">
      <c r="B46" s="21" t="s">
        <v>82</v>
      </c>
      <c r="C46">
        <f>const!C5/2*C43/(main!B12*const!C9/100)*(C45*0.0000001/2)^2</f>
        <v>5.7956712149770178E-4</v>
      </c>
      <c r="D46" s="21" t="s">
        <v>19</v>
      </c>
      <c r="E46" s="21" t="s">
        <v>103</v>
      </c>
      <c r="F46">
        <f>const!C5/2*F43/(main!E12*const!C9/100)*(F45*0.0000001/2)^2</f>
        <v>5.7956712149770178E-4</v>
      </c>
      <c r="G46" s="21" t="s">
        <v>19</v>
      </c>
    </row>
    <row r="48" spans="2:10">
      <c r="B48" s="21" t="s">
        <v>75</v>
      </c>
      <c r="C48" s="37">
        <f>C46+F46</f>
        <v>1.1591342429954036E-3</v>
      </c>
      <c r="D48" s="21" t="s">
        <v>19</v>
      </c>
    </row>
    <row r="49" spans="2:6">
      <c r="F49" s="1"/>
    </row>
    <row r="50" spans="2:6">
      <c r="B50" s="47" t="s">
        <v>123</v>
      </c>
      <c r="C50">
        <f>2*C46/(C45*0.0000001)</f>
        <v>724.45890187212729</v>
      </c>
      <c r="E50" s="47" t="s">
        <v>124</v>
      </c>
      <c r="F50">
        <f>2*F46/(F45*0.0000001)</f>
        <v>724.45890187212729</v>
      </c>
    </row>
  </sheetData>
  <phoneticPr fontId="2" type="noConversion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N108"/>
  <sheetViews>
    <sheetView topLeftCell="E69" workbookViewId="0">
      <selection activeCell="K3" sqref="K3:K41"/>
    </sheetView>
  </sheetViews>
  <sheetFormatPr defaultRowHeight="12.75"/>
  <cols>
    <col min="3" max="3" width="12.125" customWidth="1"/>
    <col min="4" max="4" width="12.875" customWidth="1"/>
    <col min="5" max="5" width="12.75" customWidth="1"/>
    <col min="6" max="6" width="13.625" customWidth="1"/>
    <col min="7" max="7" width="12.375" customWidth="1"/>
    <col min="8" max="8" width="11.25" customWidth="1"/>
    <col min="11" max="11" width="13" bestFit="1" customWidth="1"/>
  </cols>
  <sheetData>
    <row r="1" spans="2:14">
      <c r="B1" s="21" t="s">
        <v>34</v>
      </c>
      <c r="C1" s="21" t="s">
        <v>88</v>
      </c>
      <c r="D1" s="21" t="s">
        <v>89</v>
      </c>
      <c r="E1" s="21" t="s">
        <v>90</v>
      </c>
      <c r="J1" s="21" t="s">
        <v>91</v>
      </c>
      <c r="K1" s="21" t="s">
        <v>92</v>
      </c>
      <c r="L1" s="21" t="s">
        <v>93</v>
      </c>
      <c r="M1" s="21" t="s">
        <v>101</v>
      </c>
      <c r="N1" s="21" t="s">
        <v>102</v>
      </c>
    </row>
    <row r="2" spans="2:14">
      <c r="B2" s="21"/>
      <c r="C2" s="21"/>
      <c r="D2" s="21"/>
      <c r="E2" s="21"/>
      <c r="J2" s="21">
        <v>-1.0009999999999999</v>
      </c>
      <c r="K2" s="1">
        <f>get_V_x(J2, main!B$12,main!E$12, main!B$21, main!E$26)</f>
        <v>2.315950217504559E-6</v>
      </c>
      <c r="L2">
        <f>get_E0_x(J2,main!B$32,main!E$32)-K2</f>
        <v>0.99999768404978251</v>
      </c>
      <c r="M2">
        <f>get_E0_x(J2,main!B$33,main!E$33)-K2</f>
        <v>-1.4000023159502175</v>
      </c>
      <c r="N2">
        <f>get_E0_x(J2,main!B$34,main!E$34)-K2</f>
        <v>-0.20000231595021745</v>
      </c>
    </row>
    <row r="3" spans="2:14">
      <c r="B3" s="21">
        <v>-1</v>
      </c>
      <c r="C3" s="1">
        <f>-main!$B$21</f>
        <v>-1.0009033547506624E+16</v>
      </c>
      <c r="D3">
        <v>0</v>
      </c>
      <c r="E3" s="1">
        <f>C3+D3</f>
        <v>-1.0009033547506624E+16</v>
      </c>
      <c r="J3" s="21">
        <v>-0.999</v>
      </c>
      <c r="K3" s="1">
        <f>get_V_x(J3, main!B$12,main!E$12, main!B$21, main!E$26)</f>
        <v>-2.315950217504816E-6</v>
      </c>
      <c r="L3">
        <f>get_E0_x(J3,main!B$32,main!E$32)-K3</f>
        <v>1.3000023159502176</v>
      </c>
      <c r="M3">
        <f>get_E0_x(J3,main!B$33,main!E$33)-K3</f>
        <v>-0.29999768404978255</v>
      </c>
      <c r="N3">
        <f>get_E0_x(J3,main!B$34,main!E$34)-K3</f>
        <v>0.50000231595021749</v>
      </c>
    </row>
    <row r="4" spans="2:14">
      <c r="B4">
        <v>0</v>
      </c>
      <c r="C4" s="1">
        <f>-main!$B$21</f>
        <v>-1.0009033547506624E+16</v>
      </c>
      <c r="D4">
        <v>0</v>
      </c>
      <c r="E4" s="1">
        <f t="shared" ref="E4:E12" si="0">C4+D4</f>
        <v>-1.0009033547506624E+16</v>
      </c>
      <c r="J4">
        <v>-0.95</v>
      </c>
      <c r="K4" s="1">
        <f>get_V_x(J4, main!B$12,main!E$12, main!B$21, main!E$26)</f>
        <v>-1.1011775308456345E-4</v>
      </c>
      <c r="L4">
        <f>get_E0_x(J4,main!B$32,main!E$32)-K4</f>
        <v>1.3001101177530847</v>
      </c>
      <c r="M4">
        <f>get_E0_x(J4,main!B$33,main!E$33)-K4</f>
        <v>-0.29988988224691548</v>
      </c>
      <c r="N4">
        <f>get_E0_x(J4,main!B$34,main!E$34)-K4</f>
        <v>0.50011011775308456</v>
      </c>
    </row>
    <row r="5" spans="2:14">
      <c r="B5">
        <v>0</v>
      </c>
      <c r="C5">
        <v>0</v>
      </c>
      <c r="D5" s="23">
        <f>main!$E$21</f>
        <v>1.0009033547506624E+16</v>
      </c>
      <c r="E5" s="1">
        <f t="shared" si="0"/>
        <v>1.0009033547506624E+16</v>
      </c>
      <c r="J5">
        <v>-0.9</v>
      </c>
      <c r="K5" s="1">
        <f>get_V_x(J5, main!B$12,main!E$12, main!B$21, main!E$26)</f>
        <v>-2.0864416373917257E-4</v>
      </c>
      <c r="L5">
        <f>get_E0_x(J5,main!B$32,main!E$32)-K5</f>
        <v>1.3002086441637393</v>
      </c>
      <c r="M5">
        <f>get_E0_x(J5,main!B$33,main!E$33)-K5</f>
        <v>-0.29979135583626088</v>
      </c>
      <c r="N5">
        <f>get_E0_x(J5,main!B$34,main!E$34)-K5</f>
        <v>0.50020864416373922</v>
      </c>
    </row>
    <row r="6" spans="2:14">
      <c r="B6">
        <v>1</v>
      </c>
      <c r="C6">
        <v>0</v>
      </c>
      <c r="D6" s="23">
        <f>main!$E$21</f>
        <v>1.0009033547506624E+16</v>
      </c>
      <c r="E6" s="1">
        <f t="shared" si="0"/>
        <v>1.0009033547506624E+16</v>
      </c>
      <c r="J6">
        <v>-0.85</v>
      </c>
      <c r="K6" s="1">
        <f>get_V_x(J6, main!B$12,main!E$12, main!B$21, main!E$26)</f>
        <v>-2.9557923196382794E-4</v>
      </c>
      <c r="L6">
        <f>get_E0_x(J6,main!B$32,main!E$32)-K6</f>
        <v>1.3002955792319639</v>
      </c>
      <c r="M6">
        <f>get_E0_x(J6,main!B$33,main!E$33)-K6</f>
        <v>-0.29970442076803622</v>
      </c>
      <c r="N6">
        <f>get_E0_x(J6,main!B$34,main!E$34)-K6</f>
        <v>0.50029557923196388</v>
      </c>
    </row>
    <row r="7" spans="2:14">
      <c r="B7">
        <v>1</v>
      </c>
      <c r="C7" s="1">
        <f>-main!$B$21</f>
        <v>-1.0009033547506624E+16</v>
      </c>
      <c r="D7">
        <v>0</v>
      </c>
      <c r="E7" s="1">
        <f t="shared" si="0"/>
        <v>-1.0009033547506624E+16</v>
      </c>
      <c r="J7">
        <v>-0.8</v>
      </c>
      <c r="K7" s="1">
        <f>get_V_x(J7, main!B$12,main!E$12, main!B$21, main!E$26)</f>
        <v>-3.709229577585291E-4</v>
      </c>
      <c r="L7">
        <f>get_E0_x(J7,main!B$32,main!E$32)-K7</f>
        <v>1.3003709229577585</v>
      </c>
      <c r="M7">
        <f>get_E0_x(J7,main!B$33,main!E$33)-K7</f>
        <v>-0.29962907704224151</v>
      </c>
      <c r="N7">
        <f>get_E0_x(J7,main!B$34,main!E$34)-K7</f>
        <v>0.50037092295775853</v>
      </c>
    </row>
    <row r="8" spans="2:14">
      <c r="B8">
        <v>2</v>
      </c>
      <c r="C8" s="1">
        <f>-main!$B$21</f>
        <v>-1.0009033547506624E+16</v>
      </c>
      <c r="D8">
        <v>0</v>
      </c>
      <c r="E8" s="1">
        <f t="shared" si="0"/>
        <v>-1.0009033547506624E+16</v>
      </c>
      <c r="J8">
        <v>-0.75</v>
      </c>
      <c r="K8" s="1">
        <f>get_V_x(J8, main!B$12,main!E$12, main!B$21, main!E$26)</f>
        <v>-4.3467534112327636E-4</v>
      </c>
      <c r="L8">
        <f>get_E0_x(J8,main!B$32,main!E$32)-K8</f>
        <v>1.3004346753411233</v>
      </c>
      <c r="M8">
        <f>get_E0_x(J8,main!B$33,main!E$33)-K8</f>
        <v>-0.29956532465887675</v>
      </c>
      <c r="N8">
        <f>get_E0_x(J8,main!B$34,main!E$34)-K8</f>
        <v>0.50043467534112329</v>
      </c>
    </row>
    <row r="9" spans="2:14">
      <c r="B9">
        <v>2</v>
      </c>
      <c r="C9">
        <v>0</v>
      </c>
      <c r="D9" s="23">
        <f>main!$E$21</f>
        <v>1.0009033547506624E+16</v>
      </c>
      <c r="E9" s="1">
        <f t="shared" si="0"/>
        <v>1.0009033547506624E+16</v>
      </c>
      <c r="J9">
        <v>-0.7</v>
      </c>
      <c r="K9" s="1">
        <f>get_V_x(J9, main!B$12,main!E$12, main!B$21, main!E$26)</f>
        <v>-4.8683638205806957E-4</v>
      </c>
      <c r="L9">
        <f>get_E0_x(J9,main!B$32,main!E$32)-K9</f>
        <v>1.3004868363820581</v>
      </c>
      <c r="M9">
        <f>get_E0_x(J9,main!B$33,main!E$33)-K9</f>
        <v>-0.299513163617942</v>
      </c>
      <c r="N9">
        <f>get_E0_x(J9,main!B$34,main!E$34)-K9</f>
        <v>0.50048683638205804</v>
      </c>
    </row>
    <row r="10" spans="2:14">
      <c r="B10">
        <v>3</v>
      </c>
      <c r="C10">
        <v>0</v>
      </c>
      <c r="D10" s="23">
        <f>main!$E$21</f>
        <v>1.0009033547506624E+16</v>
      </c>
      <c r="E10" s="1">
        <f t="shared" si="0"/>
        <v>1.0009033547506624E+16</v>
      </c>
      <c r="J10">
        <v>-0.64999999999999991</v>
      </c>
      <c r="K10" s="1">
        <f>get_V_x(J10, main!B$12,main!E$12, main!B$21, main!E$26)</f>
        <v>-5.2740608056290868E-4</v>
      </c>
      <c r="L10">
        <f>get_E0_x(J10,main!B$32,main!E$32)-K10</f>
        <v>1.3005274060805629</v>
      </c>
      <c r="M10">
        <f>get_E0_x(J10,main!B$33,main!E$33)-K10</f>
        <v>-0.29947259391943715</v>
      </c>
      <c r="N10">
        <f>get_E0_x(J10,main!B$34,main!E$34)-K10</f>
        <v>0.5005274060805629</v>
      </c>
    </row>
    <row r="11" spans="2:14">
      <c r="B11">
        <v>3</v>
      </c>
      <c r="C11" s="1">
        <f>-main!$B$21</f>
        <v>-1.0009033547506624E+16</v>
      </c>
      <c r="D11">
        <v>0</v>
      </c>
      <c r="E11" s="1">
        <f t="shared" si="0"/>
        <v>-1.0009033547506624E+16</v>
      </c>
      <c r="J11">
        <v>-0.6</v>
      </c>
      <c r="K11" s="1">
        <f>get_V_x(J11, main!B$12,main!E$12, main!B$21, main!E$26)</f>
        <v>-5.5638443663779378E-4</v>
      </c>
      <c r="L11">
        <f>get_E0_x(J11,main!B$32,main!E$32)-K11</f>
        <v>1.3005563844366379</v>
      </c>
      <c r="M11">
        <f>get_E0_x(J11,main!B$33,main!E$33)-K11</f>
        <v>-0.29944361556336224</v>
      </c>
      <c r="N11">
        <f>get_E0_x(J11,main!B$34,main!E$34)-K11</f>
        <v>0.50055638443663775</v>
      </c>
    </row>
    <row r="12" spans="2:14">
      <c r="B12">
        <v>4</v>
      </c>
      <c r="C12" s="1">
        <f>-main!$B$21</f>
        <v>-1.0009033547506624E+16</v>
      </c>
      <c r="D12">
        <v>0</v>
      </c>
      <c r="E12" s="1">
        <f t="shared" si="0"/>
        <v>-1.0009033547506624E+16</v>
      </c>
      <c r="J12">
        <v>-0.55000000000000004</v>
      </c>
      <c r="K12" s="1">
        <f>get_V_x(J12, main!B$12,main!E$12, main!B$21, main!E$26)</f>
        <v>-5.7377145028272478E-4</v>
      </c>
      <c r="L12">
        <f>get_E0_x(J12,main!B$32,main!E$32)-K12</f>
        <v>1.3005737714502827</v>
      </c>
      <c r="M12">
        <f>get_E0_x(J12,main!B$33,main!E$33)-K12</f>
        <v>-0.29942622854971734</v>
      </c>
      <c r="N12">
        <f>get_E0_x(J12,main!B$34,main!E$34)-K12</f>
        <v>0.5005737714502827</v>
      </c>
    </row>
    <row r="13" spans="2:14">
      <c r="J13">
        <v>-0.5</v>
      </c>
      <c r="K13" s="1">
        <f>get_V_x(J13, main!B$12,main!E$12, main!B$21, main!E$26)</f>
        <v>-5.7956712149770178E-4</v>
      </c>
      <c r="L13">
        <f>get_E0_x(J13,main!B$32,main!E$32)-K13</f>
        <v>1.3005795671214977</v>
      </c>
      <c r="M13">
        <f>get_E0_x(J13,main!B$33,main!E$33)-K13</f>
        <v>-0.29942043287850234</v>
      </c>
      <c r="N13">
        <f>get_E0_x(J13,main!B$34,main!E$34)-K13</f>
        <v>0.50057956712149765</v>
      </c>
    </row>
    <row r="14" spans="2:14">
      <c r="J14">
        <v>-0.44999999999999996</v>
      </c>
      <c r="K14" s="1">
        <f>get_V_x(J14, main!B$12,main!E$12, main!B$21, main!E$26)</f>
        <v>-5.7377145028272478E-4</v>
      </c>
      <c r="L14">
        <f>get_E0_x(J14,main!B$32,main!E$32)-K14</f>
        <v>1.3005737714502827</v>
      </c>
      <c r="M14">
        <f>get_E0_x(J14,main!B$33,main!E$33)-K14</f>
        <v>-0.29942622854971734</v>
      </c>
      <c r="N14">
        <f>get_E0_x(J14,main!B$34,main!E$34)-K14</f>
        <v>0.5005737714502827</v>
      </c>
    </row>
    <row r="15" spans="2:14">
      <c r="J15">
        <v>-0.39999999999999991</v>
      </c>
      <c r="K15" s="1">
        <f>get_V_x(J15, main!B$12,main!E$12, main!B$21, main!E$26)</f>
        <v>-5.5638443663779368E-4</v>
      </c>
      <c r="L15">
        <f>get_E0_x(J15,main!B$32,main!E$32)-K15</f>
        <v>1.3005563844366379</v>
      </c>
      <c r="M15">
        <f>get_E0_x(J15,main!B$33,main!E$33)-K15</f>
        <v>-0.29944361556336224</v>
      </c>
      <c r="N15">
        <f>get_E0_x(J15,main!B$34,main!E$34)-K15</f>
        <v>0.50055638443663775</v>
      </c>
    </row>
    <row r="16" spans="2:14">
      <c r="B16" s="21" t="s">
        <v>34</v>
      </c>
      <c r="C16" s="21" t="s">
        <v>104</v>
      </c>
      <c r="D16" s="47" t="s">
        <v>136</v>
      </c>
      <c r="E16" s="47" t="s">
        <v>137</v>
      </c>
      <c r="J16">
        <v>-0.35</v>
      </c>
      <c r="K16" s="1">
        <f>get_V_x(J16, main!B$12,main!E$12, main!B$21, main!E$26)</f>
        <v>-5.2740608056290868E-4</v>
      </c>
      <c r="L16">
        <f>get_E0_x(J16,main!B$32,main!E$32)-K16</f>
        <v>1.3005274060805629</v>
      </c>
      <c r="M16">
        <f>get_E0_x(J16,main!B$33,main!E$33)-K16</f>
        <v>-0.29947259391943715</v>
      </c>
      <c r="N16">
        <f>get_E0_x(J16,main!B$34,main!E$34)-K16</f>
        <v>0.5005274060805629</v>
      </c>
    </row>
    <row r="17" spans="2:14">
      <c r="B17">
        <v>-1</v>
      </c>
      <c r="C17" s="15">
        <f>main!B$36</f>
        <v>0.15000000000000002</v>
      </c>
      <c r="D17" s="15">
        <f>main!$B$37</f>
        <v>0.91643809424597023</v>
      </c>
      <c r="E17" s="15">
        <f>main!$B$38</f>
        <v>0.91643809424597023</v>
      </c>
      <c r="J17">
        <v>-0.29999999999999993</v>
      </c>
      <c r="K17" s="1">
        <f>get_V_x(J17, main!B$12,main!E$12, main!B$21, main!E$26)</f>
        <v>-4.8683638205806947E-4</v>
      </c>
      <c r="L17">
        <f>get_E0_x(J17,main!B$32,main!E$32)-K17</f>
        <v>1.3004868363820581</v>
      </c>
      <c r="M17">
        <f>get_E0_x(J17,main!B$33,main!E$33)-K17</f>
        <v>-0.299513163617942</v>
      </c>
      <c r="N17">
        <f>get_E0_x(J17,main!B$34,main!E$34)-K17</f>
        <v>0.50048683638205804</v>
      </c>
    </row>
    <row r="18" spans="2:14">
      <c r="B18">
        <v>4</v>
      </c>
      <c r="C18" s="15">
        <f>main!B$36</f>
        <v>0.15000000000000002</v>
      </c>
      <c r="D18" s="15">
        <f>main!$B$37</f>
        <v>0.91643809424597023</v>
      </c>
      <c r="E18" s="15">
        <f>main!$B$38</f>
        <v>0.91643809424597023</v>
      </c>
      <c r="J18">
        <v>-0.25</v>
      </c>
      <c r="K18" s="1">
        <f>get_V_x(J18, main!B$12,main!E$12, main!B$21, main!E$26)</f>
        <v>-4.3467534112327636E-4</v>
      </c>
      <c r="L18">
        <f>get_E0_x(J18,main!B$32,main!E$32)-K18</f>
        <v>1.3004346753411233</v>
      </c>
      <c r="M18">
        <f>get_E0_x(J18,main!B$33,main!E$33)-K18</f>
        <v>-0.29956532465887675</v>
      </c>
      <c r="N18">
        <f>get_E0_x(J18,main!B$34,main!E$34)-K18</f>
        <v>0.50043467534112329</v>
      </c>
    </row>
    <row r="19" spans="2:14">
      <c r="J19">
        <v>-0.19999999999999996</v>
      </c>
      <c r="K19" s="1">
        <f>get_V_x(J19, main!B$12,main!E$12, main!B$21, main!E$26)</f>
        <v>-3.709229577585291E-4</v>
      </c>
      <c r="L19">
        <f>get_E0_x(J19,main!B$32,main!E$32)-K19</f>
        <v>1.3003709229577585</v>
      </c>
      <c r="M19">
        <f>get_E0_x(J19,main!B$33,main!E$33)-K19</f>
        <v>-0.29962907704224151</v>
      </c>
      <c r="N19">
        <f>get_E0_x(J19,main!B$34,main!E$34)-K19</f>
        <v>0.50037092295775853</v>
      </c>
    </row>
    <row r="20" spans="2:14">
      <c r="J20">
        <v>-0.14999999999999991</v>
      </c>
      <c r="K20" s="1">
        <f>get_V_x(J20, main!B$12,main!E$12, main!B$21, main!E$26)</f>
        <v>-2.9557923196382778E-4</v>
      </c>
      <c r="L20">
        <f>get_E0_x(J20,main!B$32,main!E$32)-K20</f>
        <v>1.3002955792319639</v>
      </c>
      <c r="M20">
        <f>get_E0_x(J20,main!B$33,main!E$33)-K20</f>
        <v>-0.29970442076803622</v>
      </c>
      <c r="N20">
        <f>get_E0_x(J20,main!B$34,main!E$34)-K20</f>
        <v>0.50029557923196388</v>
      </c>
    </row>
    <row r="21" spans="2:14">
      <c r="J21">
        <v>-9.9999999999999978E-2</v>
      </c>
      <c r="K21" s="1">
        <f>get_V_x(J21, main!B$12,main!E$12, main!B$21, main!E$26)</f>
        <v>-2.0864416373917257E-4</v>
      </c>
      <c r="L21">
        <f>get_E0_x(J21,main!B$32,main!E$32)-K21</f>
        <v>1.3002086441637393</v>
      </c>
      <c r="M21">
        <f>get_E0_x(J21,main!B$33,main!E$33)-K21</f>
        <v>-0.29979135583626088</v>
      </c>
      <c r="N21">
        <f>get_E0_x(J21,main!B$34,main!E$34)-K21</f>
        <v>0.50020864416373922</v>
      </c>
    </row>
    <row r="22" spans="2:14">
      <c r="J22">
        <v>-4.9999999999999933E-2</v>
      </c>
      <c r="K22" s="1">
        <f>get_V_x(J22, main!B$12,main!E$12, main!B$21, main!E$26)</f>
        <v>-1.1011775308456319E-4</v>
      </c>
      <c r="L22">
        <f>get_E0_x(J22,main!B$32,main!E$32)-K22</f>
        <v>1.3001101177530847</v>
      </c>
      <c r="M22">
        <f>get_E0_x(J22,main!B$33,main!E$33)-K22</f>
        <v>-0.29988988224691548</v>
      </c>
      <c r="N22">
        <f>get_E0_x(J22,main!B$34,main!E$34)-K22</f>
        <v>0.50011011775308456</v>
      </c>
    </row>
    <row r="23" spans="2:14">
      <c r="J23">
        <v>-1E-3</v>
      </c>
      <c r="K23" s="1">
        <f>get_V_x(J23, main!B$12,main!E$12, main!B$21, main!E$26)</f>
        <v>-2.315950217504816E-6</v>
      </c>
      <c r="L23">
        <f>get_E0_x(J23,main!B$32,main!E$32)-K23</f>
        <v>1.3000023159502176</v>
      </c>
      <c r="M23">
        <f>get_E0_x(J23,main!B$33,main!E$33)-K23</f>
        <v>-0.29999768404978255</v>
      </c>
      <c r="N23">
        <f>get_E0_x(J23,main!B$34,main!E$34)-K23</f>
        <v>0.50000231595021749</v>
      </c>
    </row>
    <row r="24" spans="2:14">
      <c r="J24">
        <v>1E-3</v>
      </c>
      <c r="K24" s="1">
        <f>get_V_x(J24, main!B$12,main!E$12, main!B$21, main!E$26)</f>
        <v>2.315950217504816E-6</v>
      </c>
      <c r="L24">
        <f>get_E0_x(J24,main!B$32,main!E$32)-K24</f>
        <v>0.99999768404978251</v>
      </c>
      <c r="M24">
        <f>get_E0_x(J24,main!B$33,main!E$33)-K24</f>
        <v>-1.4000023159502175</v>
      </c>
      <c r="N24">
        <f>get_E0_x(J24,main!B$34,main!E$34)-K24</f>
        <v>-0.20000231595021747</v>
      </c>
    </row>
    <row r="25" spans="2:14">
      <c r="J25">
        <v>5.0000000000000044E-2</v>
      </c>
      <c r="K25" s="1">
        <f>get_V_x(J25, main!B$12,main!E$12, main!B$21, main!E$26)</f>
        <v>1.1011775308456345E-4</v>
      </c>
      <c r="L25">
        <f>get_E0_x(J25,main!B$32,main!E$32)-K25</f>
        <v>0.99988988224691544</v>
      </c>
      <c r="M25">
        <f>get_E0_x(J25,main!B$33,main!E$33)-K25</f>
        <v>-1.4001101177530846</v>
      </c>
      <c r="N25">
        <f>get_E0_x(J25,main!B$34,main!E$34)-K25</f>
        <v>-0.20011011775308452</v>
      </c>
    </row>
    <row r="26" spans="2:14">
      <c r="J26">
        <v>0.10000000000000009</v>
      </c>
      <c r="K26" s="1">
        <f>get_V_x(J26, main!B$12,main!E$12, main!B$21, main!E$26)</f>
        <v>2.0864416373917285E-4</v>
      </c>
      <c r="L26">
        <f>get_E0_x(J26,main!B$32,main!E$32)-K26</f>
        <v>0.99979135583626078</v>
      </c>
      <c r="M26">
        <f>get_E0_x(J26,main!B$33,main!E$33)-K26</f>
        <v>-1.4002086441637391</v>
      </c>
      <c r="N26">
        <f>get_E0_x(J26,main!B$34,main!E$34)-K26</f>
        <v>-0.20020864416373912</v>
      </c>
    </row>
    <row r="27" spans="2:14">
      <c r="J27">
        <v>0.15000000000000013</v>
      </c>
      <c r="K27" s="1">
        <f>get_V_x(J27, main!B$12,main!E$12, main!B$21, main!E$26)</f>
        <v>2.9557923196382816E-4</v>
      </c>
      <c r="L27">
        <f>get_E0_x(J27,main!B$32,main!E$32)-K27</f>
        <v>0.99970442076803612</v>
      </c>
      <c r="M27">
        <f>get_E0_x(J27,main!B$33,main!E$33)-K27</f>
        <v>-1.4002955792319638</v>
      </c>
      <c r="N27">
        <f>get_E0_x(J27,main!B$34,main!E$34)-K27</f>
        <v>-0.20029557923196378</v>
      </c>
    </row>
    <row r="28" spans="2:14">
      <c r="J28">
        <v>0.20000000000000018</v>
      </c>
      <c r="K28" s="1">
        <f>get_V_x(J28, main!B$12,main!E$12, main!B$21, main!E$26)</f>
        <v>3.7092295775852942E-4</v>
      </c>
      <c r="L28">
        <f>get_E0_x(J28,main!B$32,main!E$32)-K28</f>
        <v>0.99962907704224147</v>
      </c>
      <c r="M28">
        <f>get_E0_x(J28,main!B$33,main!E$33)-K28</f>
        <v>-1.4003709229577583</v>
      </c>
      <c r="N28">
        <f>get_E0_x(J28,main!B$34,main!E$34)-K28</f>
        <v>-0.20037092295775849</v>
      </c>
    </row>
    <row r="29" spans="2:14">
      <c r="J29">
        <v>0.25</v>
      </c>
      <c r="K29" s="1">
        <f>get_V_x(J29, main!B$12,main!E$12, main!B$21, main!E$26)</f>
        <v>4.3467534112327636E-4</v>
      </c>
      <c r="L29">
        <f>get_E0_x(J29,main!B$32,main!E$32)-K29</f>
        <v>0.99956532465887671</v>
      </c>
      <c r="M29">
        <f>get_E0_x(J29,main!B$33,main!E$33)-K29</f>
        <v>-1.4004346753411232</v>
      </c>
      <c r="N29">
        <f>get_E0_x(J29,main!B$34,main!E$34)-K29</f>
        <v>-0.20043467534112322</v>
      </c>
    </row>
    <row r="30" spans="2:14">
      <c r="J30">
        <v>0.30000000000000004</v>
      </c>
      <c r="K30" s="1">
        <f>get_V_x(J30, main!B$12,main!E$12, main!B$21, main!E$26)</f>
        <v>4.8683638205806957E-4</v>
      </c>
      <c r="L30">
        <f>get_E0_x(J30,main!B$32,main!E$32)-K30</f>
        <v>0.99951316361794196</v>
      </c>
      <c r="M30">
        <f>get_E0_x(J30,main!B$33,main!E$33)-K30</f>
        <v>-1.400486836382058</v>
      </c>
      <c r="N30">
        <f>get_E0_x(J30,main!B$34,main!E$34)-K30</f>
        <v>-0.20048683638205803</v>
      </c>
    </row>
    <row r="31" spans="2:14">
      <c r="J31">
        <v>0.35000000000000009</v>
      </c>
      <c r="K31" s="1">
        <f>get_V_x(J31, main!B$12,main!E$12, main!B$21, main!E$26)</f>
        <v>5.2740608056290868E-4</v>
      </c>
      <c r="L31">
        <f>get_E0_x(J31,main!B$32,main!E$32)-K31</f>
        <v>0.9994725939194371</v>
      </c>
      <c r="M31">
        <f>get_E0_x(J31,main!B$33,main!E$33)-K31</f>
        <v>-1.4005274060805628</v>
      </c>
      <c r="N31">
        <f>get_E0_x(J31,main!B$34,main!E$34)-K31</f>
        <v>-0.20052740608056285</v>
      </c>
    </row>
    <row r="32" spans="2:14">
      <c r="J32">
        <v>0.40000000000000013</v>
      </c>
      <c r="K32" s="1">
        <f>get_V_x(J32, main!B$12,main!E$12, main!B$21, main!E$26)</f>
        <v>5.5638443663779378E-4</v>
      </c>
      <c r="L32">
        <f>get_E0_x(J32,main!B$32,main!E$32)-K32</f>
        <v>0.99944361556336225</v>
      </c>
      <c r="M32">
        <f>get_E0_x(J32,main!B$33,main!E$33)-K32</f>
        <v>-1.4005563844366378</v>
      </c>
      <c r="N32">
        <f>get_E0_x(J32,main!B$34,main!E$34)-K32</f>
        <v>-0.20055638443663776</v>
      </c>
    </row>
    <row r="33" spans="10:14">
      <c r="J33">
        <v>0.45000000000000018</v>
      </c>
      <c r="K33" s="1">
        <f>get_V_x(J33, main!B$12,main!E$12, main!B$21, main!E$26)</f>
        <v>5.7377145028272489E-4</v>
      </c>
      <c r="L33">
        <f>get_E0_x(J33,main!B$32,main!E$32)-K33</f>
        <v>0.9994262285497173</v>
      </c>
      <c r="M33">
        <f>get_E0_x(J33,main!B$33,main!E$33)-K33</f>
        <v>-1.4005737714502826</v>
      </c>
      <c r="N33">
        <f>get_E0_x(J33,main!B$34,main!E$34)-K33</f>
        <v>-0.20057377145028268</v>
      </c>
    </row>
    <row r="34" spans="10:14">
      <c r="J34">
        <v>0.5</v>
      </c>
      <c r="K34" s="1">
        <f>get_V_x(J34, main!B$12,main!E$12, main!B$21, main!E$26)</f>
        <v>5.7956712149770178E-4</v>
      </c>
      <c r="L34">
        <f>get_E0_x(J34,main!B$32,main!E$32)-K34</f>
        <v>0.99942043287850235</v>
      </c>
      <c r="M34">
        <f>get_E0_x(J34,main!B$33,main!E$33)-K34</f>
        <v>-1.4005795671214976</v>
      </c>
      <c r="N34">
        <f>get_E0_x(J34,main!B$34,main!E$34)-K34</f>
        <v>-0.20057956712149766</v>
      </c>
    </row>
    <row r="35" spans="10:14">
      <c r="J35">
        <v>0.55000000000000004</v>
      </c>
      <c r="K35" s="1">
        <f>get_V_x(J35, main!B$12,main!E$12, main!B$21, main!E$26)</f>
        <v>5.7377145028272478E-4</v>
      </c>
      <c r="L35">
        <f>get_E0_x(J35,main!B$32,main!E$32)-K35</f>
        <v>0.9994262285497173</v>
      </c>
      <c r="M35">
        <f>get_E0_x(J35,main!B$33,main!E$33)-K35</f>
        <v>-1.4005737714502826</v>
      </c>
      <c r="N35">
        <f>get_E0_x(J35,main!B$34,main!E$34)-K35</f>
        <v>-0.20057377145028268</v>
      </c>
    </row>
    <row r="36" spans="10:14">
      <c r="J36">
        <v>0.60000000000000009</v>
      </c>
      <c r="K36" s="1">
        <f>get_V_x(J36, main!B$12,main!E$12, main!B$21, main!E$26)</f>
        <v>5.5638443663779368E-4</v>
      </c>
      <c r="L36">
        <f>get_E0_x(J36,main!B$32,main!E$32)-K36</f>
        <v>0.99944361556336225</v>
      </c>
      <c r="M36">
        <f>get_E0_x(J36,main!B$33,main!E$33)-K36</f>
        <v>-1.4005563844366378</v>
      </c>
      <c r="N36">
        <f>get_E0_x(J36,main!B$34,main!E$34)-K36</f>
        <v>-0.20055638443663776</v>
      </c>
    </row>
    <row r="37" spans="10:14">
      <c r="J37">
        <v>0.65000000000000013</v>
      </c>
      <c r="K37" s="1">
        <f>get_V_x(J37, main!B$12,main!E$12, main!B$21, main!E$26)</f>
        <v>5.2740608056290857E-4</v>
      </c>
      <c r="L37">
        <f>get_E0_x(J37,main!B$32,main!E$32)-K37</f>
        <v>0.9994725939194371</v>
      </c>
      <c r="M37">
        <f>get_E0_x(J37,main!B$33,main!E$33)-K37</f>
        <v>-1.4005274060805628</v>
      </c>
      <c r="N37">
        <f>get_E0_x(J37,main!B$34,main!E$34)-K37</f>
        <v>-0.20052740608056285</v>
      </c>
    </row>
    <row r="38" spans="10:14">
      <c r="J38">
        <v>0.70000000000000018</v>
      </c>
      <c r="K38" s="1">
        <f>get_V_x(J38, main!B$12,main!E$12, main!B$21, main!E$26)</f>
        <v>4.8683638205806936E-4</v>
      </c>
      <c r="L38">
        <f>get_E0_x(J38,main!B$32,main!E$32)-K38</f>
        <v>0.99951316361794196</v>
      </c>
      <c r="M38">
        <f>get_E0_x(J38,main!B$33,main!E$33)-K38</f>
        <v>-1.400486836382058</v>
      </c>
      <c r="N38">
        <f>get_E0_x(J38,main!B$34,main!E$34)-K38</f>
        <v>-0.20048683638205803</v>
      </c>
    </row>
    <row r="39" spans="10:14">
      <c r="J39">
        <v>0.75</v>
      </c>
      <c r="K39" s="1">
        <f>get_V_x(J39, main!B$12,main!E$12, main!B$21, main!E$26)</f>
        <v>4.3467534112327636E-4</v>
      </c>
      <c r="L39">
        <f>get_E0_x(J39,main!B$32,main!E$32)-K39</f>
        <v>0.99956532465887671</v>
      </c>
      <c r="M39">
        <f>get_E0_x(J39,main!B$33,main!E$33)-K39</f>
        <v>-1.4004346753411232</v>
      </c>
      <c r="N39">
        <f>get_E0_x(J39,main!B$34,main!E$34)-K39</f>
        <v>-0.20043467534112322</v>
      </c>
    </row>
    <row r="40" spans="10:14">
      <c r="J40">
        <v>0.8</v>
      </c>
      <c r="K40" s="1">
        <f>get_V_x(J40, main!B$12,main!E$12, main!B$21, main!E$26)</f>
        <v>3.709229577585291E-4</v>
      </c>
      <c r="L40">
        <f>get_E0_x(J40,main!B$32,main!E$32)-K40</f>
        <v>0.99962907704224147</v>
      </c>
      <c r="M40">
        <f>get_E0_x(J40,main!B$33,main!E$33)-K40</f>
        <v>-1.4003709229577583</v>
      </c>
      <c r="N40">
        <f>get_E0_x(J40,main!B$34,main!E$34)-K40</f>
        <v>-0.20037092295775849</v>
      </c>
    </row>
    <row r="41" spans="10:14">
      <c r="J41">
        <v>0.85000000000000009</v>
      </c>
      <c r="K41" s="1">
        <f>get_V_x(J41, main!B$12,main!E$12, main!B$21, main!E$26)</f>
        <v>2.9557923196382778E-4</v>
      </c>
      <c r="L41">
        <f>get_E0_x(J41,main!B$32,main!E$32)-K41</f>
        <v>0.99970442076803612</v>
      </c>
      <c r="M41">
        <f>get_E0_x(J41,main!B$33,main!E$33)-K41</f>
        <v>-1.4002955792319638</v>
      </c>
      <c r="N41">
        <f>get_E0_x(J41,main!B$34,main!E$34)-K41</f>
        <v>-0.20029557923196378</v>
      </c>
    </row>
    <row r="42" spans="10:14">
      <c r="J42">
        <v>0.90000000000000013</v>
      </c>
      <c r="K42">
        <f>get_V_x(J42, main!B$12,main!E$12, main!B$21, main!E$26)</f>
        <v>2.0864416373917238E-4</v>
      </c>
      <c r="L42">
        <f>get_E0_x(J42,main!B$32,main!E$32)-K42</f>
        <v>0.99979135583626078</v>
      </c>
      <c r="M42">
        <f>get_E0_x(J42,main!B$33,main!E$33)-K42</f>
        <v>-1.4002086441637391</v>
      </c>
      <c r="N42">
        <f>get_E0_x(J42,main!B$34,main!E$34)-K42</f>
        <v>-0.20020864416373912</v>
      </c>
    </row>
    <row r="43" spans="10:14">
      <c r="J43">
        <v>0.95000000000000018</v>
      </c>
      <c r="K43">
        <f>get_V_x(J43, main!B$12,main!E$12, main!B$21, main!E$26)</f>
        <v>1.1011775308456299E-4</v>
      </c>
      <c r="L43">
        <f>get_E0_x(J43,main!B$32,main!E$32)-K43</f>
        <v>0.99988988224691544</v>
      </c>
      <c r="M43">
        <f>get_E0_x(J43,main!B$33,main!E$33)-K43</f>
        <v>-1.4001101177530846</v>
      </c>
      <c r="N43">
        <f>get_E0_x(J43,main!B$34,main!E$34)-K43</f>
        <v>-0.20011011775308452</v>
      </c>
    </row>
    <row r="44" spans="10:14">
      <c r="J44">
        <v>0.999</v>
      </c>
      <c r="K44">
        <f>get_V_x(J44, main!B$12,main!E$12, main!B$21, main!E$26)</f>
        <v>2.315950217504816E-6</v>
      </c>
      <c r="L44">
        <f>get_E0_x(J44,main!B$32,main!E$32)-K44</f>
        <v>0.99999768404978251</v>
      </c>
      <c r="M44">
        <f>get_E0_x(J44,main!B$33,main!E$33)-K44</f>
        <v>-1.4000023159502175</v>
      </c>
      <c r="N44">
        <f>get_E0_x(J44,main!B$34,main!E$34)-K44</f>
        <v>-0.20000231595021747</v>
      </c>
    </row>
    <row r="45" spans="10:14">
      <c r="J45">
        <v>1.0009999999999999</v>
      </c>
      <c r="K45">
        <f>get_V_x(J45, main!B$12,main!E$12, main!B$21, main!E$26)</f>
        <v>-2.315950217504559E-6</v>
      </c>
      <c r="L45">
        <f>get_E0_x(J45,main!B$32,main!E$32)-K45</f>
        <v>1.3000023159502176</v>
      </c>
      <c r="M45">
        <f>get_E0_x(J45,main!B$33,main!E$33)-K45</f>
        <v>-0.29999768404978255</v>
      </c>
      <c r="N45">
        <f>get_E0_x(J45,main!B$34,main!E$34)-K45</f>
        <v>0.50000231595021749</v>
      </c>
    </row>
    <row r="46" spans="10:14">
      <c r="J46">
        <v>1.0500000000000003</v>
      </c>
      <c r="K46">
        <f>get_V_x(J46, main!B$12,main!E$12, main!B$21, main!E$26)</f>
        <v>-1.101177530845639E-4</v>
      </c>
      <c r="L46">
        <f>get_E0_x(J46,main!B$32,main!E$32)-K46</f>
        <v>1.3001101177530847</v>
      </c>
      <c r="M46">
        <f>get_E0_x(J46,main!B$33,main!E$33)-K46</f>
        <v>-0.29988988224691548</v>
      </c>
      <c r="N46">
        <f>get_E0_x(J46,main!B$34,main!E$34)-K46</f>
        <v>0.50011011775308456</v>
      </c>
    </row>
    <row r="47" spans="10:14">
      <c r="J47">
        <v>1.1000000000000001</v>
      </c>
      <c r="K47">
        <f>get_V_x(J47, main!B$12,main!E$12, main!B$21, main!E$26)</f>
        <v>-2.0864416373917285E-4</v>
      </c>
      <c r="L47">
        <f>get_E0_x(J47,main!B$32,main!E$32)-K47</f>
        <v>1.3002086441637393</v>
      </c>
      <c r="M47">
        <f>get_E0_x(J47,main!B$33,main!E$33)-K47</f>
        <v>-0.29979135583626088</v>
      </c>
      <c r="N47">
        <f>get_E0_x(J47,main!B$34,main!E$34)-K47</f>
        <v>0.50020864416373922</v>
      </c>
    </row>
    <row r="48" spans="10:14">
      <c r="J48">
        <v>1.1499999999999999</v>
      </c>
      <c r="K48">
        <f>get_V_x(J48, main!B$12,main!E$12, main!B$21, main!E$26)</f>
        <v>-2.9557923196382778E-4</v>
      </c>
      <c r="L48">
        <f>get_E0_x(J48,main!B$32,main!E$32)-K48</f>
        <v>1.3002955792319639</v>
      </c>
      <c r="M48">
        <f>get_E0_x(J48,main!B$33,main!E$33)-K48</f>
        <v>-0.29970442076803622</v>
      </c>
      <c r="N48">
        <f>get_E0_x(J48,main!B$34,main!E$34)-K48</f>
        <v>0.50029557923196388</v>
      </c>
    </row>
    <row r="49" spans="10:14">
      <c r="J49">
        <v>1.2000000000000002</v>
      </c>
      <c r="K49">
        <f>get_V_x(J49, main!B$12,main!E$12, main!B$21, main!E$26)</f>
        <v>-3.7092295775852942E-4</v>
      </c>
      <c r="L49">
        <f>get_E0_x(J49,main!B$32,main!E$32)-K49</f>
        <v>1.3003709229577585</v>
      </c>
      <c r="M49">
        <f>get_E0_x(J49,main!B$33,main!E$33)-K49</f>
        <v>-0.29962907704224151</v>
      </c>
      <c r="N49">
        <f>get_E0_x(J49,main!B$34,main!E$34)-K49</f>
        <v>0.50037092295775853</v>
      </c>
    </row>
    <row r="50" spans="10:14">
      <c r="J50">
        <v>1.25</v>
      </c>
      <c r="K50">
        <f>get_V_x(J50, main!B$12,main!E$12, main!B$21, main!E$26)</f>
        <v>-4.3467534112327636E-4</v>
      </c>
      <c r="L50">
        <f>get_E0_x(J50,main!B$32,main!E$32)-K50</f>
        <v>1.3004346753411233</v>
      </c>
      <c r="M50">
        <f>get_E0_x(J50,main!B$33,main!E$33)-K50</f>
        <v>-0.29956532465887675</v>
      </c>
      <c r="N50">
        <f>get_E0_x(J50,main!B$34,main!E$34)-K50</f>
        <v>0.50043467534112329</v>
      </c>
    </row>
    <row r="51" spans="10:14">
      <c r="J51">
        <v>1.3000000000000003</v>
      </c>
      <c r="K51">
        <f>get_V_x(J51, main!B$12,main!E$12, main!B$21, main!E$26)</f>
        <v>-4.8683638205806979E-4</v>
      </c>
      <c r="L51">
        <f>get_E0_x(J51,main!B$32,main!E$32)-K51</f>
        <v>1.3004868363820581</v>
      </c>
      <c r="M51">
        <f>get_E0_x(J51,main!B$33,main!E$33)-K51</f>
        <v>-0.299513163617942</v>
      </c>
      <c r="N51">
        <f>get_E0_x(J51,main!B$34,main!E$34)-K51</f>
        <v>0.50048683638205804</v>
      </c>
    </row>
    <row r="52" spans="10:14">
      <c r="J52">
        <v>1.35</v>
      </c>
      <c r="K52">
        <f>get_V_x(J52, main!B$12,main!E$12, main!B$21, main!E$26)</f>
        <v>-5.2740608056290868E-4</v>
      </c>
      <c r="L52">
        <f>get_E0_x(J52,main!B$32,main!E$32)-K52</f>
        <v>1.3005274060805629</v>
      </c>
      <c r="M52">
        <f>get_E0_x(J52,main!B$33,main!E$33)-K52</f>
        <v>-0.29947259391943715</v>
      </c>
      <c r="N52">
        <f>get_E0_x(J52,main!B$34,main!E$34)-K52</f>
        <v>0.5005274060805629</v>
      </c>
    </row>
    <row r="53" spans="10:14">
      <c r="J53">
        <v>1.4000000000000004</v>
      </c>
      <c r="K53">
        <f>get_V_x(J53, main!B$12,main!E$12, main!B$21, main!E$26)</f>
        <v>-5.5638443663779389E-4</v>
      </c>
      <c r="L53">
        <f>get_E0_x(J53,main!B$32,main!E$32)-K53</f>
        <v>1.3005563844366379</v>
      </c>
      <c r="M53">
        <f>get_E0_x(J53,main!B$33,main!E$33)-K53</f>
        <v>-0.29944361556336224</v>
      </c>
      <c r="N53">
        <f>get_E0_x(J53,main!B$34,main!E$34)-K53</f>
        <v>0.50055638443663775</v>
      </c>
    </row>
    <row r="54" spans="10:14">
      <c r="J54">
        <v>1.4500000000000002</v>
      </c>
      <c r="K54">
        <f>get_V_x(J54, main!B$12,main!E$12, main!B$21, main!E$26)</f>
        <v>-5.7377145028272489E-4</v>
      </c>
      <c r="L54">
        <f>get_E0_x(J54,main!B$32,main!E$32)-K54</f>
        <v>1.3005737714502827</v>
      </c>
      <c r="M54">
        <f>get_E0_x(J54,main!B$33,main!E$33)-K54</f>
        <v>-0.29942622854971734</v>
      </c>
      <c r="N54">
        <f>get_E0_x(J54,main!B$34,main!E$34)-K54</f>
        <v>0.5005737714502827</v>
      </c>
    </row>
    <row r="55" spans="10:14">
      <c r="J55">
        <v>1.5</v>
      </c>
      <c r="K55">
        <f>get_V_x(J55, main!B$12,main!E$12, main!B$21, main!E$26)</f>
        <v>-5.7956712149770178E-4</v>
      </c>
      <c r="L55">
        <f>get_E0_x(J55,main!B$32,main!E$32)-K55</f>
        <v>1.3005795671214977</v>
      </c>
      <c r="M55">
        <f>get_E0_x(J55,main!B$33,main!E$33)-K55</f>
        <v>-0.29942043287850234</v>
      </c>
      <c r="N55">
        <f>get_E0_x(J55,main!B$34,main!E$34)-K55</f>
        <v>0.50057956712149765</v>
      </c>
    </row>
    <row r="56" spans="10:14">
      <c r="J56">
        <v>1.5500000000000003</v>
      </c>
      <c r="K56">
        <f>get_V_x(J56, main!B$12,main!E$12, main!B$21, main!E$26)</f>
        <v>-5.7377145028272478E-4</v>
      </c>
      <c r="L56">
        <f>get_E0_x(J56,main!B$32,main!E$32)-K56</f>
        <v>1.3005737714502827</v>
      </c>
      <c r="M56">
        <f>get_E0_x(J56,main!B$33,main!E$33)-K56</f>
        <v>-0.29942622854971734</v>
      </c>
      <c r="N56">
        <f>get_E0_x(J56,main!B$34,main!E$34)-K56</f>
        <v>0.5005737714502827</v>
      </c>
    </row>
    <row r="57" spans="10:14">
      <c r="J57">
        <v>1.6</v>
      </c>
      <c r="K57">
        <f>get_V_x(J57, main!B$12,main!E$12, main!B$21, main!E$26)</f>
        <v>-5.5638443663779368E-4</v>
      </c>
      <c r="L57">
        <f>get_E0_x(J57,main!B$32,main!E$32)-K57</f>
        <v>1.3005563844366379</v>
      </c>
      <c r="M57">
        <f>get_E0_x(J57,main!B$33,main!E$33)-K57</f>
        <v>-0.29944361556336224</v>
      </c>
      <c r="N57">
        <f>get_E0_x(J57,main!B$34,main!E$34)-K57</f>
        <v>0.50055638443663775</v>
      </c>
    </row>
    <row r="58" spans="10:14">
      <c r="J58">
        <v>1.6500000000000004</v>
      </c>
      <c r="K58">
        <f>get_V_x(J58, main!B$12,main!E$12, main!B$21, main!E$26)</f>
        <v>-5.2740608056290846E-4</v>
      </c>
      <c r="L58">
        <f>get_E0_x(J58,main!B$32,main!E$32)-K58</f>
        <v>1.3005274060805629</v>
      </c>
      <c r="M58">
        <f>get_E0_x(J58,main!B$33,main!E$33)-K58</f>
        <v>-0.29947259391943715</v>
      </c>
      <c r="N58">
        <f>get_E0_x(J58,main!B$34,main!E$34)-K58</f>
        <v>0.5005274060805629</v>
      </c>
    </row>
    <row r="59" spans="10:14">
      <c r="J59">
        <v>1.7000000000000002</v>
      </c>
      <c r="K59">
        <f>get_V_x(J59, main!B$12,main!E$12, main!B$21, main!E$26)</f>
        <v>-4.8683638205806936E-4</v>
      </c>
      <c r="L59">
        <f>get_E0_x(J59,main!B$32,main!E$32)-K59</f>
        <v>1.3004868363820581</v>
      </c>
      <c r="M59">
        <f>get_E0_x(J59,main!B$33,main!E$33)-K59</f>
        <v>-0.299513163617942</v>
      </c>
      <c r="N59">
        <f>get_E0_x(J59,main!B$34,main!E$34)-K59</f>
        <v>0.50048683638205804</v>
      </c>
    </row>
    <row r="60" spans="10:14">
      <c r="J60">
        <v>1.75</v>
      </c>
      <c r="K60">
        <f>get_V_x(J60, main!B$12,main!E$12, main!B$21, main!E$26)</f>
        <v>-4.3467534112327636E-4</v>
      </c>
      <c r="L60">
        <f>get_E0_x(J60,main!B$32,main!E$32)-K60</f>
        <v>1.3004346753411233</v>
      </c>
      <c r="M60">
        <f>get_E0_x(J60,main!B$33,main!E$33)-K60</f>
        <v>-0.29956532465887675</v>
      </c>
      <c r="N60">
        <f>get_E0_x(J60,main!B$34,main!E$34)-K60</f>
        <v>0.50043467534112329</v>
      </c>
    </row>
    <row r="61" spans="10:14">
      <c r="J61">
        <v>1.8000000000000003</v>
      </c>
      <c r="K61">
        <f>get_V_x(J61, main!B$12,main!E$12, main!B$21, main!E$26)</f>
        <v>-3.7092295775852877E-4</v>
      </c>
      <c r="L61">
        <f>get_E0_x(J61,main!B$32,main!E$32)-K61</f>
        <v>1.3003709229577585</v>
      </c>
      <c r="M61">
        <f>get_E0_x(J61,main!B$33,main!E$33)-K61</f>
        <v>-0.29962907704224151</v>
      </c>
      <c r="N61">
        <f>get_E0_x(J61,main!B$34,main!E$34)-K61</f>
        <v>0.50037092295775853</v>
      </c>
    </row>
    <row r="62" spans="10:14">
      <c r="J62">
        <v>1.85</v>
      </c>
      <c r="K62">
        <f>get_V_x(J62, main!B$12,main!E$12, main!B$21, main!E$26)</f>
        <v>-2.9557923196382778E-4</v>
      </c>
      <c r="L62">
        <f>get_E0_x(J62,main!B$32,main!E$32)-K62</f>
        <v>1.3002955792319639</v>
      </c>
      <c r="M62">
        <f>get_E0_x(J62,main!B$33,main!E$33)-K62</f>
        <v>-0.29970442076803622</v>
      </c>
      <c r="N62">
        <f>get_E0_x(J62,main!B$34,main!E$34)-K62</f>
        <v>0.50029557923196388</v>
      </c>
    </row>
    <row r="63" spans="10:14">
      <c r="J63">
        <v>1.9000000000000004</v>
      </c>
      <c r="K63">
        <f>get_V_x(J63, main!B$12,main!E$12, main!B$21, main!E$26)</f>
        <v>-2.08644163739172E-4</v>
      </c>
      <c r="L63">
        <f>get_E0_x(J63,main!B$32,main!E$32)-K63</f>
        <v>1.3002086441637393</v>
      </c>
      <c r="M63">
        <f>get_E0_x(J63,main!B$33,main!E$33)-K63</f>
        <v>-0.29979135583626088</v>
      </c>
      <c r="N63">
        <f>get_E0_x(J63,main!B$34,main!E$34)-K63</f>
        <v>0.50020864416373922</v>
      </c>
    </row>
    <row r="64" spans="10:14">
      <c r="J64">
        <v>1.9500000000000002</v>
      </c>
      <c r="K64">
        <f>get_V_x(J64, main!B$12,main!E$12, main!B$21, main!E$26)</f>
        <v>-1.1011775308456299E-4</v>
      </c>
      <c r="L64">
        <f>get_E0_x(J64,main!B$32,main!E$32)-K64</f>
        <v>1.3001101177530847</v>
      </c>
      <c r="M64">
        <f>get_E0_x(J64,main!B$33,main!E$33)-K64</f>
        <v>-0.29988988224691548</v>
      </c>
      <c r="N64">
        <f>get_E0_x(J64,main!B$34,main!E$34)-K64</f>
        <v>0.50011011775308456</v>
      </c>
    </row>
    <row r="65" spans="10:14">
      <c r="J65">
        <v>1.9990000000000001</v>
      </c>
      <c r="K65">
        <f>get_V_x(J65, main!B$12,main!E$12, main!B$21, main!E$26)</f>
        <v>-2.315950217504559E-6</v>
      </c>
      <c r="L65">
        <f>get_E0_x(J65,main!B$32,main!E$32)-K65</f>
        <v>1.3000023159502176</v>
      </c>
      <c r="M65">
        <f>get_E0_x(J65,main!B$33,main!E$33)-K65</f>
        <v>-0.29999768404978255</v>
      </c>
      <c r="N65">
        <f>get_E0_x(J65,main!B$34,main!E$34)-K65</f>
        <v>0.50000231595021749</v>
      </c>
    </row>
    <row r="66" spans="10:14">
      <c r="J66">
        <v>2.0009999999999999</v>
      </c>
      <c r="K66">
        <f>get_V_x(J66, main!B$12,main!E$12, main!B$21, main!E$26)</f>
        <v>2.315950217504559E-6</v>
      </c>
      <c r="L66">
        <f>get_E0_x(J66,main!B$32,main!E$32)-K66</f>
        <v>0.99999768404978251</v>
      </c>
      <c r="M66">
        <f>get_E0_x(J66,main!B$33,main!E$33)-K66</f>
        <v>-1.4000023159502175</v>
      </c>
      <c r="N66">
        <f>get_E0_x(J66,main!B$34,main!E$34)-K66</f>
        <v>-0.20000231595021745</v>
      </c>
    </row>
    <row r="67" spans="10:14">
      <c r="J67">
        <v>2.0500000000000003</v>
      </c>
      <c r="K67">
        <f>get_V_x(J67, main!B$12,main!E$12, main!B$21, main!E$26)</f>
        <v>1.101177530845639E-4</v>
      </c>
      <c r="L67">
        <f>get_E0_x(J67,main!B$32,main!E$32)-K67</f>
        <v>0.99988988224691544</v>
      </c>
      <c r="M67">
        <f>get_E0_x(J67,main!B$33,main!E$33)-K67</f>
        <v>-1.4001101177530846</v>
      </c>
      <c r="N67">
        <f>get_E0_x(J67,main!B$34,main!E$34)-K67</f>
        <v>-0.20011011775308452</v>
      </c>
    </row>
    <row r="68" spans="10:14">
      <c r="J68">
        <v>2.1</v>
      </c>
      <c r="K68">
        <f>get_V_x(J68, main!B$12,main!E$12, main!B$21, main!E$26)</f>
        <v>2.0864416373917285E-4</v>
      </c>
      <c r="L68">
        <f>get_E0_x(J68,main!B$32,main!E$32)-K68</f>
        <v>0.99979135583626078</v>
      </c>
      <c r="M68">
        <f>get_E0_x(J68,main!B$33,main!E$33)-K68</f>
        <v>-1.4002086441637391</v>
      </c>
      <c r="N68">
        <f>get_E0_x(J68,main!B$34,main!E$34)-K68</f>
        <v>-0.20020864416373912</v>
      </c>
    </row>
    <row r="69" spans="10:14">
      <c r="J69">
        <v>2.1500000000000004</v>
      </c>
      <c r="K69">
        <f>get_V_x(J69, main!B$12,main!E$12, main!B$21, main!E$26)</f>
        <v>2.9557923196382854E-4</v>
      </c>
      <c r="L69">
        <f>get_E0_x(J69,main!B$32,main!E$32)-K69</f>
        <v>0.99970442076803612</v>
      </c>
      <c r="M69">
        <f>get_E0_x(J69,main!B$33,main!E$33)-K69</f>
        <v>-1.4002955792319638</v>
      </c>
      <c r="N69">
        <f>get_E0_x(J69,main!B$34,main!E$34)-K69</f>
        <v>-0.20029557923196378</v>
      </c>
    </row>
    <row r="70" spans="10:14">
      <c r="J70">
        <v>2.2000000000000002</v>
      </c>
      <c r="K70">
        <f>get_V_x(J70, main!B$12,main!E$12, main!B$21, main!E$26)</f>
        <v>3.7092295775852942E-4</v>
      </c>
      <c r="L70">
        <f>get_E0_x(J70,main!B$32,main!E$32)-K70</f>
        <v>0.99962907704224147</v>
      </c>
      <c r="M70">
        <f>get_E0_x(J70,main!B$33,main!E$33)-K70</f>
        <v>-1.4003709229577583</v>
      </c>
      <c r="N70">
        <f>get_E0_x(J70,main!B$34,main!E$34)-K70</f>
        <v>-0.20037092295775849</v>
      </c>
    </row>
    <row r="71" spans="10:14">
      <c r="J71">
        <v>2.25</v>
      </c>
      <c r="K71">
        <f>get_V_x(J71, main!B$12,main!E$12, main!B$21, main!E$26)</f>
        <v>4.3467534112327636E-4</v>
      </c>
      <c r="L71">
        <f>get_E0_x(J71,main!B$32,main!E$32)-K71</f>
        <v>0.99956532465887671</v>
      </c>
      <c r="M71">
        <f>get_E0_x(J71,main!B$33,main!E$33)-K71</f>
        <v>-1.4004346753411232</v>
      </c>
      <c r="N71">
        <f>get_E0_x(J71,main!B$34,main!E$34)-K71</f>
        <v>-0.20043467534112322</v>
      </c>
    </row>
    <row r="72" spans="10:14">
      <c r="J72">
        <v>2.3000000000000003</v>
      </c>
      <c r="K72">
        <f>get_V_x(J72, main!B$12,main!E$12, main!B$21, main!E$26)</f>
        <v>4.8683638205806979E-4</v>
      </c>
      <c r="L72">
        <f>get_E0_x(J72,main!B$32,main!E$32)-K72</f>
        <v>0.99951316361794196</v>
      </c>
      <c r="M72">
        <f>get_E0_x(J72,main!B$33,main!E$33)-K72</f>
        <v>-1.400486836382058</v>
      </c>
      <c r="N72">
        <f>get_E0_x(J72,main!B$34,main!E$34)-K72</f>
        <v>-0.20048683638205803</v>
      </c>
    </row>
    <row r="73" spans="10:14">
      <c r="J73">
        <v>2.35</v>
      </c>
      <c r="K73">
        <f>get_V_x(J73, main!B$12,main!E$12, main!B$21, main!E$26)</f>
        <v>5.2740608056290868E-4</v>
      </c>
      <c r="L73">
        <f>get_E0_x(J73,main!B$32,main!E$32)-K73</f>
        <v>0.9994725939194371</v>
      </c>
      <c r="M73">
        <f>get_E0_x(J73,main!B$33,main!E$33)-K73</f>
        <v>-1.4005274060805628</v>
      </c>
      <c r="N73">
        <f>get_E0_x(J73,main!B$34,main!E$34)-K73</f>
        <v>-0.20052740608056285</v>
      </c>
    </row>
    <row r="74" spans="10:14">
      <c r="J74">
        <v>2.4000000000000004</v>
      </c>
      <c r="K74">
        <f>get_V_x(J74, main!B$12,main!E$12, main!B$21, main!E$26)</f>
        <v>5.5638443663779389E-4</v>
      </c>
      <c r="L74">
        <f>get_E0_x(J74,main!B$32,main!E$32)-K74</f>
        <v>0.99944361556336225</v>
      </c>
      <c r="M74">
        <f>get_E0_x(J74,main!B$33,main!E$33)-K74</f>
        <v>-1.4005563844366378</v>
      </c>
      <c r="N74">
        <f>get_E0_x(J74,main!B$34,main!E$34)-K74</f>
        <v>-0.20055638443663776</v>
      </c>
    </row>
    <row r="75" spans="10:14">
      <c r="J75">
        <v>2.4500000000000002</v>
      </c>
      <c r="K75">
        <f>get_V_x(J75, main!B$12,main!E$12, main!B$21, main!E$26)</f>
        <v>5.7377145028272489E-4</v>
      </c>
      <c r="L75">
        <f>get_E0_x(J75,main!B$32,main!E$32)-K75</f>
        <v>0.9994262285497173</v>
      </c>
      <c r="M75">
        <f>get_E0_x(J75,main!B$33,main!E$33)-K75</f>
        <v>-1.4005737714502826</v>
      </c>
      <c r="N75">
        <f>get_E0_x(J75,main!B$34,main!E$34)-K75</f>
        <v>-0.20057377145028268</v>
      </c>
    </row>
    <row r="76" spans="10:14">
      <c r="J76">
        <v>2.5</v>
      </c>
      <c r="K76">
        <f>get_V_x(J76, main!B$12,main!E$12, main!B$21, main!E$26)</f>
        <v>5.7956712149770178E-4</v>
      </c>
      <c r="L76">
        <f>get_E0_x(J76,main!B$32,main!E$32)-K76</f>
        <v>0.99942043287850235</v>
      </c>
      <c r="M76">
        <f>get_E0_x(J76,main!B$33,main!E$33)-K76</f>
        <v>-1.4005795671214976</v>
      </c>
      <c r="N76">
        <f>get_E0_x(J76,main!B$34,main!E$34)-K76</f>
        <v>-0.20057956712149766</v>
      </c>
    </row>
    <row r="77" spans="10:14">
      <c r="J77">
        <v>2.5500000000000003</v>
      </c>
      <c r="K77">
        <f>get_V_x(J77, main!B$12,main!E$12, main!B$21, main!E$26)</f>
        <v>5.7377145028272478E-4</v>
      </c>
      <c r="L77">
        <f>get_E0_x(J77,main!B$32,main!E$32)-K77</f>
        <v>0.9994262285497173</v>
      </c>
      <c r="M77">
        <f>get_E0_x(J77,main!B$33,main!E$33)-K77</f>
        <v>-1.4005737714502826</v>
      </c>
      <c r="N77">
        <f>get_E0_x(J77,main!B$34,main!E$34)-K77</f>
        <v>-0.20057377145028268</v>
      </c>
    </row>
    <row r="78" spans="10:14">
      <c r="J78">
        <v>2.6</v>
      </c>
      <c r="K78">
        <f>get_V_x(J78, main!B$12,main!E$12, main!B$21, main!E$26)</f>
        <v>5.5638443663779368E-4</v>
      </c>
      <c r="L78">
        <f>get_E0_x(J78,main!B$32,main!E$32)-K78</f>
        <v>0.99944361556336225</v>
      </c>
      <c r="M78">
        <f>get_E0_x(J78,main!B$33,main!E$33)-K78</f>
        <v>-1.4005563844366378</v>
      </c>
      <c r="N78">
        <f>get_E0_x(J78,main!B$34,main!E$34)-K78</f>
        <v>-0.20055638443663776</v>
      </c>
    </row>
    <row r="79" spans="10:14">
      <c r="J79">
        <v>2.6500000000000004</v>
      </c>
      <c r="K79">
        <f>get_V_x(J79, main!B$12,main!E$12, main!B$21, main!E$26)</f>
        <v>5.2740608056290846E-4</v>
      </c>
      <c r="L79">
        <f>get_E0_x(J79,main!B$32,main!E$32)-K79</f>
        <v>0.9994725939194371</v>
      </c>
      <c r="M79">
        <f>get_E0_x(J79,main!B$33,main!E$33)-K79</f>
        <v>-1.4005274060805628</v>
      </c>
      <c r="N79">
        <f>get_E0_x(J79,main!B$34,main!E$34)-K79</f>
        <v>-0.20052740608056285</v>
      </c>
    </row>
    <row r="80" spans="10:14">
      <c r="J80">
        <v>2.7</v>
      </c>
      <c r="K80">
        <f>get_V_x(J80, main!B$12,main!E$12, main!B$21, main!E$26)</f>
        <v>4.8683638205806936E-4</v>
      </c>
      <c r="L80">
        <f>get_E0_x(J80,main!B$32,main!E$32)-K80</f>
        <v>0.99951316361794196</v>
      </c>
      <c r="M80">
        <f>get_E0_x(J80,main!B$33,main!E$33)-K80</f>
        <v>-1.400486836382058</v>
      </c>
      <c r="N80">
        <f>get_E0_x(J80,main!B$34,main!E$34)-K80</f>
        <v>-0.20048683638205803</v>
      </c>
    </row>
    <row r="81" spans="10:14">
      <c r="J81">
        <v>2.75</v>
      </c>
      <c r="K81">
        <f>get_V_x(J81, main!B$12,main!E$12, main!B$21, main!E$26)</f>
        <v>4.3467534112327636E-4</v>
      </c>
      <c r="L81">
        <f>get_E0_x(J81,main!B$32,main!E$32)-K81</f>
        <v>0.99956532465887671</v>
      </c>
      <c r="M81">
        <f>get_E0_x(J81,main!B$33,main!E$33)-K81</f>
        <v>-1.4004346753411232</v>
      </c>
      <c r="N81">
        <f>get_E0_x(J81,main!B$34,main!E$34)-K81</f>
        <v>-0.20043467534112322</v>
      </c>
    </row>
    <row r="82" spans="10:14">
      <c r="J82">
        <v>2.8000000000000003</v>
      </c>
      <c r="K82">
        <f>get_V_x(J82, main!B$12,main!E$12, main!B$21, main!E$26)</f>
        <v>3.7092295775852877E-4</v>
      </c>
      <c r="L82">
        <f>get_E0_x(J82,main!B$32,main!E$32)-K82</f>
        <v>0.99962907704224147</v>
      </c>
      <c r="M82">
        <f>get_E0_x(J82,main!B$33,main!E$33)-K82</f>
        <v>-1.4003709229577583</v>
      </c>
      <c r="N82">
        <f>get_E0_x(J82,main!B$34,main!E$34)-K82</f>
        <v>-0.20037092295775849</v>
      </c>
    </row>
    <row r="83" spans="10:14">
      <c r="J83">
        <v>2.85</v>
      </c>
      <c r="K83">
        <f>get_V_x(J83, main!B$12,main!E$12, main!B$21, main!E$26)</f>
        <v>2.9557923196382778E-4</v>
      </c>
      <c r="L83">
        <f>get_E0_x(J83,main!B$32,main!E$32)-K83</f>
        <v>0.99970442076803612</v>
      </c>
      <c r="M83">
        <f>get_E0_x(J83,main!B$33,main!E$33)-K83</f>
        <v>-1.4002955792319638</v>
      </c>
      <c r="N83">
        <f>get_E0_x(J83,main!B$34,main!E$34)-K83</f>
        <v>-0.20029557923196378</v>
      </c>
    </row>
    <row r="84" spans="10:14">
      <c r="J84">
        <v>2.9000000000000004</v>
      </c>
      <c r="K84">
        <f>get_V_x(J84, main!B$12,main!E$12, main!B$21, main!E$26)</f>
        <v>2.08644163739172E-4</v>
      </c>
      <c r="L84">
        <f>get_E0_x(J84,main!B$32,main!E$32)-K84</f>
        <v>0.99979135583626078</v>
      </c>
      <c r="M84">
        <f>get_E0_x(J84,main!B$33,main!E$33)-K84</f>
        <v>-1.4002086441637391</v>
      </c>
      <c r="N84">
        <f>get_E0_x(J84,main!B$34,main!E$34)-K84</f>
        <v>-0.20020864416373912</v>
      </c>
    </row>
    <row r="85" spans="10:14">
      <c r="J85">
        <v>2.95</v>
      </c>
      <c r="K85">
        <f>get_V_x(J85, main!B$12,main!E$12, main!B$21, main!E$26)</f>
        <v>1.1011775308456299E-4</v>
      </c>
      <c r="L85">
        <f>get_E0_x(J85,main!B$32,main!E$32)-K85</f>
        <v>0.99988988224691544</v>
      </c>
      <c r="M85">
        <f>get_E0_x(J85,main!B$33,main!E$33)-K85</f>
        <v>-1.4001101177530846</v>
      </c>
      <c r="N85">
        <f>get_E0_x(J85,main!B$34,main!E$34)-K85</f>
        <v>-0.20011011775308452</v>
      </c>
    </row>
    <row r="86" spans="10:14">
      <c r="J86">
        <v>2.9990000000000001</v>
      </c>
      <c r="K86">
        <f>get_V_x(J86, main!B$12,main!E$12, main!B$21, main!E$26)</f>
        <v>2.315950217504559E-6</v>
      </c>
      <c r="L86">
        <f>get_E0_x(J86,main!B$32,main!E$32)-K86</f>
        <v>0.99999768404978251</v>
      </c>
      <c r="M86">
        <f>get_E0_x(J86,main!B$33,main!E$33)-K86</f>
        <v>-1.4000023159502175</v>
      </c>
      <c r="N86">
        <f>get_E0_x(J86,main!B$34,main!E$34)-K86</f>
        <v>-0.20000231595021745</v>
      </c>
    </row>
    <row r="87" spans="10:14">
      <c r="J87">
        <v>3.0009999999999999</v>
      </c>
      <c r="K87">
        <f>get_V_x(J87, main!B$12,main!E$12, main!B$21, main!E$26)</f>
        <v>-2.315950217504559E-6</v>
      </c>
      <c r="L87">
        <f>get_E0_x(J87,main!B$32,main!E$32)-K87</f>
        <v>1.3000023159502176</v>
      </c>
      <c r="M87">
        <f>get_E0_x(J87,main!B$33,main!E$33)-K87</f>
        <v>-0.29999768404978255</v>
      </c>
      <c r="N87">
        <f>get_E0_x(J87,main!B$34,main!E$34)-K87</f>
        <v>0.50000231595021749</v>
      </c>
    </row>
    <row r="88" spans="10:14">
      <c r="J88">
        <v>3.05</v>
      </c>
      <c r="K88">
        <f>get_V_x(J88, main!B$12,main!E$12, main!B$21, main!E$26)</f>
        <v>-1.1011775308456299E-4</v>
      </c>
      <c r="L88">
        <f>get_E0_x(J88,main!B$32,main!E$32)-K88</f>
        <v>1.3001101177530847</v>
      </c>
      <c r="M88">
        <f>get_E0_x(J88,main!B$33,main!E$33)-K88</f>
        <v>-0.29988988224691548</v>
      </c>
      <c r="N88">
        <f>get_E0_x(J88,main!B$34,main!E$34)-K88</f>
        <v>0.50011011775308456</v>
      </c>
    </row>
    <row r="89" spans="10:14">
      <c r="J89">
        <v>3.1000000000000005</v>
      </c>
      <c r="K89">
        <f>get_V_x(J89, main!B$12,main!E$12, main!B$21, main!E$26)</f>
        <v>-2.086441637391736E-4</v>
      </c>
      <c r="L89">
        <f>get_E0_x(J89,main!B$32,main!E$32)-K89</f>
        <v>1.3002086441637393</v>
      </c>
      <c r="M89">
        <f>get_E0_x(J89,main!B$33,main!E$33)-K89</f>
        <v>-0.29979135583626088</v>
      </c>
      <c r="N89">
        <f>get_E0_x(J89,main!B$34,main!E$34)-K89</f>
        <v>0.50020864416373922</v>
      </c>
    </row>
    <row r="90" spans="10:14">
      <c r="J90">
        <v>3.1500000000000004</v>
      </c>
      <c r="K90">
        <f>get_V_x(J90, main!B$12,main!E$12, main!B$21, main!E$26)</f>
        <v>-2.9557923196382854E-4</v>
      </c>
      <c r="L90">
        <f>get_E0_x(J90,main!B$32,main!E$32)-K90</f>
        <v>1.3002955792319639</v>
      </c>
      <c r="M90">
        <f>get_E0_x(J90,main!B$33,main!E$33)-K90</f>
        <v>-0.29970442076803622</v>
      </c>
      <c r="N90">
        <f>get_E0_x(J90,main!B$34,main!E$34)-K90</f>
        <v>0.50029557923196388</v>
      </c>
    </row>
    <row r="91" spans="10:14">
      <c r="J91">
        <v>3.2</v>
      </c>
      <c r="K91">
        <f>get_V_x(J91, main!B$12,main!E$12, main!B$21, main!E$26)</f>
        <v>-3.7092295775852942E-4</v>
      </c>
      <c r="L91">
        <f>get_E0_x(J91,main!B$32,main!E$32)-K91</f>
        <v>1.3003709229577585</v>
      </c>
      <c r="M91">
        <f>get_E0_x(J91,main!B$33,main!E$33)-K91</f>
        <v>-0.29962907704224151</v>
      </c>
      <c r="N91">
        <f>get_E0_x(J91,main!B$34,main!E$34)-K91</f>
        <v>0.50037092295775853</v>
      </c>
    </row>
    <row r="92" spans="10:14">
      <c r="J92">
        <v>3.25</v>
      </c>
      <c r="K92">
        <f>get_V_x(J92, main!B$12,main!E$12, main!B$21, main!E$26)</f>
        <v>-4.3467534112327636E-4</v>
      </c>
      <c r="L92">
        <f>get_E0_x(J92,main!B$32,main!E$32)-K92</f>
        <v>1.3004346753411233</v>
      </c>
      <c r="M92">
        <f>get_E0_x(J92,main!B$33,main!E$33)-K92</f>
        <v>-0.29956532465887675</v>
      </c>
      <c r="N92">
        <f>get_E0_x(J92,main!B$34,main!E$34)-K92</f>
        <v>0.50043467534112329</v>
      </c>
    </row>
    <row r="93" spans="10:14">
      <c r="J93">
        <v>3.3</v>
      </c>
      <c r="K93">
        <f>get_V_x(J93, main!B$12,main!E$12, main!B$21, main!E$26)</f>
        <v>-4.8683638205806936E-4</v>
      </c>
      <c r="L93">
        <f>get_E0_x(J93,main!B$32,main!E$32)-K93</f>
        <v>1.3004868363820581</v>
      </c>
      <c r="M93">
        <f>get_E0_x(J93,main!B$33,main!E$33)-K93</f>
        <v>-0.299513163617942</v>
      </c>
      <c r="N93">
        <f>get_E0_x(J93,main!B$34,main!E$34)-K93</f>
        <v>0.50048683638205804</v>
      </c>
    </row>
    <row r="94" spans="10:14">
      <c r="J94">
        <v>3.3500000000000005</v>
      </c>
      <c r="K94">
        <f>get_V_x(J94, main!B$12,main!E$12, main!B$21, main!E$26)</f>
        <v>-5.27406080562909E-4</v>
      </c>
      <c r="L94">
        <f>get_E0_x(J94,main!B$32,main!E$32)-K94</f>
        <v>1.3005274060805629</v>
      </c>
      <c r="M94">
        <f>get_E0_x(J94,main!B$33,main!E$33)-K94</f>
        <v>-0.29947259391943715</v>
      </c>
      <c r="N94">
        <f>get_E0_x(J94,main!B$34,main!E$34)-K94</f>
        <v>0.5005274060805629</v>
      </c>
    </row>
    <row r="95" spans="10:14">
      <c r="J95">
        <v>3.4000000000000004</v>
      </c>
      <c r="K95">
        <f>get_V_x(J95, main!B$12,main!E$12, main!B$21, main!E$26)</f>
        <v>-5.5638443663779389E-4</v>
      </c>
      <c r="L95">
        <f>get_E0_x(J95,main!B$32,main!E$32)-K95</f>
        <v>1.3005563844366379</v>
      </c>
      <c r="M95">
        <f>get_E0_x(J95,main!B$33,main!E$33)-K95</f>
        <v>-0.29944361556336224</v>
      </c>
      <c r="N95">
        <f>get_E0_x(J95,main!B$34,main!E$34)-K95</f>
        <v>0.50055638443663775</v>
      </c>
    </row>
    <row r="96" spans="10:14">
      <c r="J96">
        <v>3.45</v>
      </c>
      <c r="K96">
        <f>get_V_x(J96, main!B$12,main!E$12, main!B$21, main!E$26)</f>
        <v>-5.7377145028272489E-4</v>
      </c>
      <c r="L96">
        <f>get_E0_x(J96,main!B$32,main!E$32)-K96</f>
        <v>1.3005737714502827</v>
      </c>
      <c r="M96">
        <f>get_E0_x(J96,main!B$33,main!E$33)-K96</f>
        <v>-0.29942622854971734</v>
      </c>
      <c r="N96">
        <f>get_E0_x(J96,main!B$34,main!E$34)-K96</f>
        <v>0.5005737714502827</v>
      </c>
    </row>
    <row r="97" spans="2:14">
      <c r="J97">
        <v>3.5</v>
      </c>
      <c r="K97">
        <f>get_V_x(J97, main!B$12,main!E$12, main!B$21, main!E$26)</f>
        <v>-5.7956712149770178E-4</v>
      </c>
      <c r="L97">
        <f>get_E0_x(J97,main!B$32,main!E$32)-K97</f>
        <v>1.3005795671214977</v>
      </c>
      <c r="M97">
        <f>get_E0_x(J97,main!B$33,main!E$33)-K97</f>
        <v>-0.29942043287850234</v>
      </c>
      <c r="N97">
        <f>get_E0_x(J97,main!B$34,main!E$34)-K97</f>
        <v>0.50057956712149765</v>
      </c>
    </row>
    <row r="98" spans="2:14">
      <c r="J98">
        <v>3.55</v>
      </c>
      <c r="K98">
        <f>get_V_x(J98, main!B$12,main!E$12, main!B$21, main!E$26)</f>
        <v>-5.7377145028272489E-4</v>
      </c>
      <c r="L98">
        <f>get_E0_x(J98,main!B$32,main!E$32)-K98</f>
        <v>1.3005737714502827</v>
      </c>
      <c r="M98">
        <f>get_E0_x(J98,main!B$33,main!E$33)-K98</f>
        <v>-0.29942622854971734</v>
      </c>
      <c r="N98">
        <f>get_E0_x(J98,main!B$34,main!E$34)-K98</f>
        <v>0.5005737714502827</v>
      </c>
    </row>
    <row r="99" spans="2:14">
      <c r="J99">
        <v>3.6000000000000005</v>
      </c>
      <c r="K99">
        <f>get_V_x(J99, main!B$12,main!E$12, main!B$21, main!E$26)</f>
        <v>-5.5638443663779346E-4</v>
      </c>
      <c r="L99">
        <f>get_E0_x(J99,main!B$32,main!E$32)-K99</f>
        <v>1.3005563844366379</v>
      </c>
      <c r="M99">
        <f>get_E0_x(J99,main!B$33,main!E$33)-K99</f>
        <v>-0.29944361556336224</v>
      </c>
      <c r="N99">
        <f>get_E0_x(J99,main!B$34,main!E$34)-K99</f>
        <v>0.50055638443663775</v>
      </c>
    </row>
    <row r="100" spans="2:14">
      <c r="J100">
        <v>3.6500000000000004</v>
      </c>
      <c r="K100">
        <f>get_V_x(J100, main!B$12,main!E$12, main!B$21, main!E$26)</f>
        <v>-5.2740608056290846E-4</v>
      </c>
      <c r="L100">
        <f>get_E0_x(J100,main!B$32,main!E$32)-K100</f>
        <v>1.3005274060805629</v>
      </c>
      <c r="M100">
        <f>get_E0_x(J100,main!B$33,main!E$33)-K100</f>
        <v>-0.29947259391943715</v>
      </c>
      <c r="N100">
        <f>get_E0_x(J100,main!B$34,main!E$34)-K100</f>
        <v>0.5005274060805629</v>
      </c>
    </row>
    <row r="101" spans="2:14">
      <c r="J101">
        <v>3.7</v>
      </c>
      <c r="K101">
        <f>get_V_x(J101, main!B$12,main!E$12, main!B$21, main!E$26)</f>
        <v>-4.8683638205806936E-4</v>
      </c>
      <c r="L101">
        <f>get_E0_x(J101,main!B$32,main!E$32)-K101</f>
        <v>1.3004868363820581</v>
      </c>
      <c r="M101">
        <f>get_E0_x(J101,main!B$33,main!E$33)-K101</f>
        <v>-0.299513163617942</v>
      </c>
      <c r="N101">
        <f>get_E0_x(J101,main!B$34,main!E$34)-K101</f>
        <v>0.50048683638205804</v>
      </c>
    </row>
    <row r="102" spans="2:14">
      <c r="J102">
        <v>3.75</v>
      </c>
      <c r="K102">
        <f>get_V_x(J102, main!B$12,main!E$12, main!B$21, main!E$26)</f>
        <v>-4.3467534112327636E-4</v>
      </c>
      <c r="L102">
        <f>get_E0_x(J102,main!B$32,main!E$32)-K102</f>
        <v>1.3004346753411233</v>
      </c>
      <c r="M102">
        <f>get_E0_x(J102,main!B$33,main!E$33)-K102</f>
        <v>-0.29956532465887675</v>
      </c>
      <c r="N102">
        <f>get_E0_x(J102,main!B$34,main!E$34)-K102</f>
        <v>0.50043467534112329</v>
      </c>
    </row>
    <row r="103" spans="2:14">
      <c r="J103">
        <v>3.8000000000000007</v>
      </c>
      <c r="K103">
        <f>get_V_x(J103, main!B$12,main!E$12, main!B$21, main!E$26)</f>
        <v>-3.7092295775852818E-4</v>
      </c>
      <c r="L103">
        <f>get_E0_x(J103,main!B$32,main!E$32)-K103</f>
        <v>1.3003709229577585</v>
      </c>
      <c r="M103">
        <f>get_E0_x(J103,main!B$33,main!E$33)-K103</f>
        <v>-0.29962907704224151</v>
      </c>
      <c r="N103">
        <f>get_E0_x(J103,main!B$34,main!E$34)-K103</f>
        <v>0.50037092295775853</v>
      </c>
    </row>
    <row r="104" spans="2:14">
      <c r="J104">
        <v>3.8500000000000005</v>
      </c>
      <c r="K104">
        <f>get_V_x(J104, main!B$12,main!E$12, main!B$21, main!E$26)</f>
        <v>-2.9557923196382708E-4</v>
      </c>
      <c r="L104">
        <f>get_E0_x(J104,main!B$32,main!E$32)-K104</f>
        <v>1.3002955792319639</v>
      </c>
      <c r="M104">
        <f>get_E0_x(J104,main!B$33,main!E$33)-K104</f>
        <v>-0.29970442076803622</v>
      </c>
      <c r="N104">
        <f>get_E0_x(J104,main!B$34,main!E$34)-K104</f>
        <v>0.50029557923196377</v>
      </c>
    </row>
    <row r="105" spans="2:14">
      <c r="J105">
        <v>3.9000000000000004</v>
      </c>
      <c r="K105">
        <f>get_V_x(J105, main!B$12,main!E$12, main!B$21, main!E$26)</f>
        <v>-2.08644163739172E-4</v>
      </c>
      <c r="L105">
        <f>get_E0_x(J105,main!B$32,main!E$32)-K105</f>
        <v>1.3002086441637393</v>
      </c>
      <c r="M105">
        <f>get_E0_x(J105,main!B$33,main!E$33)-K105</f>
        <v>-0.29979135583626088</v>
      </c>
      <c r="N105">
        <f>get_E0_x(J105,main!B$34,main!E$34)-K105</f>
        <v>0.50020864416373922</v>
      </c>
    </row>
    <row r="106" spans="2:14">
      <c r="J106">
        <v>3.95</v>
      </c>
      <c r="K106">
        <f>get_V_x(J106, main!B$12,main!E$12, main!B$21, main!E$26)</f>
        <v>-1.1011775308456299E-4</v>
      </c>
      <c r="L106">
        <f>get_E0_x(J106,main!B$32,main!E$32)-K106</f>
        <v>1.3001101177530847</v>
      </c>
      <c r="M106">
        <f>get_E0_x(J106,main!B$33,main!E$33)-K106</f>
        <v>-0.29988988224691548</v>
      </c>
      <c r="N106">
        <f>get_E0_x(J106,main!B$34,main!E$34)-K106</f>
        <v>0.50011011775308456</v>
      </c>
    </row>
    <row r="107" spans="2:14">
      <c r="B107">
        <v>-0.1</v>
      </c>
      <c r="J107">
        <v>3.9990000000000001</v>
      </c>
      <c r="K107">
        <f>get_V_x(J107, main!B$12,main!E$12, main!B$21, main!E$26)</f>
        <v>-2.315950217504559E-6</v>
      </c>
      <c r="L107">
        <f>get_E0_x(J107,main!B$32,main!E$32)-K107</f>
        <v>1.3000023159502176</v>
      </c>
      <c r="M107">
        <f>get_E0_x(J107,main!B$33,main!E$33)-K107</f>
        <v>-0.29999768404978255</v>
      </c>
      <c r="N107">
        <f>get_E0_x(J107,main!B$34,main!E$34)-K107</f>
        <v>0.50000231595021749</v>
      </c>
    </row>
    <row r="108" spans="2:14">
      <c r="B108">
        <f>2*(((B107-1)/2)-INT(((B107+1)/2)))+1</f>
        <v>-0.10000000000000009</v>
      </c>
      <c r="J108">
        <v>4.0010000000000003</v>
      </c>
      <c r="K108">
        <f>get_V_x(J108, main!B$12,main!E$12, main!B$21, main!E$26)</f>
        <v>2.3159502175055885E-6</v>
      </c>
      <c r="L108">
        <f>get_E0_x(J108,main!B$32,main!E$32)-K108</f>
        <v>0.99999768404978251</v>
      </c>
      <c r="M108">
        <f>get_E0_x(J108,main!B$33,main!E$33)-K108</f>
        <v>-1.4000023159502175</v>
      </c>
      <c r="N108">
        <f>get_E0_x(J108,main!B$34,main!E$34)-K108</f>
        <v>-0.20000231595021747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I23"/>
  <sheetViews>
    <sheetView zoomScaleNormal="100" workbookViewId="0">
      <selection activeCell="D29" sqref="D29"/>
    </sheetView>
  </sheetViews>
  <sheetFormatPr defaultColWidth="11" defaultRowHeight="12.75"/>
  <cols>
    <col min="1" max="1" width="30.125" customWidth="1"/>
    <col min="2" max="2" width="15" customWidth="1"/>
    <col min="3" max="3" width="16.625" style="2" bestFit="1" customWidth="1"/>
    <col min="5" max="5" width="13.5" customWidth="1"/>
    <col min="6" max="6" width="12.625" bestFit="1" customWidth="1"/>
    <col min="8" max="8" width="12.375" customWidth="1"/>
    <col min="9" max="9" width="12.625" bestFit="1" customWidth="1"/>
  </cols>
  <sheetData>
    <row r="1" spans="1:9">
      <c r="A1" s="28" t="s">
        <v>37</v>
      </c>
    </row>
    <row r="2" spans="1:9">
      <c r="A2" s="29" t="s">
        <v>38</v>
      </c>
    </row>
    <row r="3" spans="1:9">
      <c r="A3" t="s">
        <v>39</v>
      </c>
      <c r="B3" s="21" t="s">
        <v>40</v>
      </c>
      <c r="C3" s="2">
        <v>6.6260687599999996E-34</v>
      </c>
      <c r="E3" s="21" t="s">
        <v>41</v>
      </c>
      <c r="F3">
        <f>C3/C5</f>
        <v>4.13566727333434E-15</v>
      </c>
    </row>
    <row r="4" spans="1:9">
      <c r="A4" t="s">
        <v>42</v>
      </c>
      <c r="B4" s="21" t="s">
        <v>43</v>
      </c>
      <c r="C4" s="2">
        <v>299792458</v>
      </c>
    </row>
    <row r="5" spans="1:9">
      <c r="A5" t="s">
        <v>44</v>
      </c>
      <c r="B5" s="21" t="s">
        <v>45</v>
      </c>
      <c r="C5" s="2">
        <v>1.6021764620000001E-19</v>
      </c>
    </row>
    <row r="6" spans="1:9">
      <c r="A6" t="s">
        <v>46</v>
      </c>
      <c r="B6" s="21" t="s">
        <v>47</v>
      </c>
      <c r="C6" s="2">
        <v>1.3806503000000001E-23</v>
      </c>
      <c r="E6" s="21" t="s">
        <v>48</v>
      </c>
      <c r="F6" s="2">
        <f>C6/C5</f>
        <v>8.6173423012127608E-5</v>
      </c>
    </row>
    <row r="7" spans="1:9">
      <c r="A7" t="s">
        <v>49</v>
      </c>
      <c r="B7" s="21" t="s">
        <v>50</v>
      </c>
      <c r="C7" s="30">
        <v>9.1093818800000006E-31</v>
      </c>
      <c r="E7" s="21" t="s">
        <v>51</v>
      </c>
      <c r="F7" s="2">
        <f>C7*C4^2</f>
        <v>8.1871041397413285E-14</v>
      </c>
      <c r="H7" s="21" t="s">
        <v>52</v>
      </c>
      <c r="I7" s="2">
        <f>F7/C5</f>
        <v>510998.90267526149</v>
      </c>
    </row>
    <row r="8" spans="1:9">
      <c r="A8" t="s">
        <v>53</v>
      </c>
      <c r="B8" s="21" t="s">
        <v>54</v>
      </c>
      <c r="C8" s="30">
        <v>6.0221415000000003E+23</v>
      </c>
    </row>
    <row r="9" spans="1:9">
      <c r="A9" t="s">
        <v>55</v>
      </c>
      <c r="B9" s="21" t="s">
        <v>56</v>
      </c>
      <c r="C9" s="30">
        <v>8.8541878170000005E-12</v>
      </c>
      <c r="E9" s="21"/>
      <c r="F9" s="2"/>
      <c r="H9" s="21"/>
      <c r="I9" s="2"/>
    </row>
    <row r="10" spans="1:9">
      <c r="B10" s="21"/>
      <c r="C10" s="30"/>
      <c r="E10" s="21"/>
      <c r="F10" s="2"/>
      <c r="H10" s="21"/>
      <c r="I10" s="2"/>
    </row>
    <row r="13" spans="1:9">
      <c r="A13" s="28" t="s">
        <v>57</v>
      </c>
    </row>
    <row r="14" spans="1:9">
      <c r="A14" s="29" t="s">
        <v>38</v>
      </c>
    </row>
    <row r="15" spans="1:9">
      <c r="A15" s="21" t="s">
        <v>58</v>
      </c>
      <c r="B15" s="21" t="s">
        <v>59</v>
      </c>
      <c r="C15" s="31">
        <v>2.5852026903638286E-2</v>
      </c>
    </row>
    <row r="16" spans="1:9">
      <c r="A16" s="21" t="s">
        <v>60</v>
      </c>
      <c r="B16" s="21" t="s">
        <v>61</v>
      </c>
      <c r="C16" s="15">
        <v>1239.8418573430597</v>
      </c>
      <c r="E16" s="21" t="s">
        <v>62</v>
      </c>
      <c r="F16" s="32">
        <f>C16/1000</f>
        <v>1.2398418573430596</v>
      </c>
    </row>
    <row r="17" spans="1:6">
      <c r="A17" s="21" t="s">
        <v>63</v>
      </c>
      <c r="B17" s="21" t="s">
        <v>64</v>
      </c>
      <c r="C17">
        <v>8.3144714686174517</v>
      </c>
    </row>
    <row r="18" spans="1:6">
      <c r="A18" s="21" t="s">
        <v>65</v>
      </c>
      <c r="B18" s="21" t="s">
        <v>66</v>
      </c>
      <c r="C18" s="14">
        <v>96485.333621333746</v>
      </c>
    </row>
    <row r="19" spans="1:6" ht="14.25">
      <c r="A19" s="21" t="s">
        <v>67</v>
      </c>
      <c r="B19" s="21" t="s">
        <v>68</v>
      </c>
      <c r="C19" s="33">
        <f>2*PI()^5/15*C6^4/C3^3/C4^2</f>
        <v>5.6703993443637977E-8</v>
      </c>
    </row>
    <row r="20" spans="1:6">
      <c r="A20" s="21" t="s">
        <v>69</v>
      </c>
      <c r="C20" s="2">
        <f>C3/2/PI()</f>
        <v>1.0545715964207855E-34</v>
      </c>
    </row>
    <row r="21" spans="1:6">
      <c r="A21" s="21" t="s">
        <v>70</v>
      </c>
      <c r="B21" s="21" t="s">
        <v>71</v>
      </c>
      <c r="C21" s="2">
        <f>4*PI()*C9*C20^2/C7/C5^2</f>
        <v>5.2917720857030988E-11</v>
      </c>
    </row>
    <row r="22" spans="1:6">
      <c r="A22" s="21" t="s">
        <v>72</v>
      </c>
      <c r="C22" s="2">
        <f>C20^2/2/C7/C21^2</f>
        <v>2.1798719016382761E-18</v>
      </c>
      <c r="F22" s="2">
        <f>C22/C5</f>
        <v>13.60569171586217</v>
      </c>
    </row>
    <row r="23" spans="1:6">
      <c r="A23" s="21" t="s">
        <v>73</v>
      </c>
      <c r="B23" s="21" t="s">
        <v>74</v>
      </c>
      <c r="C23" s="34">
        <f>2*(2*PI()*I7*C15/(C16/10000000)^2)^1.5</f>
        <v>2.5094165960582709E+19</v>
      </c>
    </row>
  </sheetData>
  <phoneticPr fontId="2"/>
  <pageMargins left="0.75" right="0.75" top="1" bottom="1" header="0.5" footer="0.5"/>
  <pageSetup paperSize="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title</vt:lpstr>
      <vt:lpstr>main</vt:lpstr>
      <vt:lpstr>calc</vt:lpstr>
      <vt:lpstr>data</vt:lpstr>
      <vt:lpstr>const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</dc:creator>
  <cp:lastModifiedBy>Ahrenkiel,  Phil</cp:lastModifiedBy>
  <dcterms:created xsi:type="dcterms:W3CDTF">2008-02-08T20:17:45Z</dcterms:created>
  <dcterms:modified xsi:type="dcterms:W3CDTF">2018-03-27T14:27:17Z</dcterms:modified>
</cp:coreProperties>
</file>